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embeddings/oleObject1.bin" ContentType="application/vnd.openxmlformats-officedocument.oleObject"/>
  <Override PartName="/xl/drawings/drawing5.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drawings/drawing6.xml" ContentType="application/vnd.openxmlformats-officedocument.drawing+xml"/>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embeddings/oleObject28.bin" ContentType="application/vnd.openxmlformats-officedocument.oleObject"/>
  <Override PartName="/xl/embeddings/oleObject29.bin" ContentType="application/vnd.openxmlformats-officedocument.oleObject"/>
  <Override PartName="/xl/drawings/drawing7.xml" ContentType="application/vnd.openxmlformats-officedocument.drawing+xml"/>
  <Override PartName="/xl/embeddings/oleObject30.bin" ContentType="application/vnd.openxmlformats-officedocument.oleObject"/>
  <Override PartName="/xl/embeddings/oleObject31.bin" ContentType="application/vnd.openxmlformats-officedocument.oleObject"/>
  <Override PartName="/xl/embeddings/oleObject32.bin" ContentType="application/vnd.openxmlformats-officedocument.oleObject"/>
  <Override PartName="/xl/embeddings/oleObject33.bin" ContentType="application/vnd.openxmlformats-officedocument.oleObject"/>
  <Override PartName="/xl/embeddings/oleObject34.bin" ContentType="application/vnd.openxmlformats-officedocument.oleObject"/>
  <Override PartName="/xl/embeddings/oleObject35.bin" ContentType="application/vnd.openxmlformats-officedocument.oleObject"/>
  <Override PartName="/xl/embeddings/oleObject36.bin" ContentType="application/vnd.openxmlformats-officedocument.oleObject"/>
  <Override PartName="/xl/embeddings/oleObject37.bin" ContentType="application/vnd.openxmlformats-officedocument.oleObject"/>
  <Override PartName="/xl/embeddings/oleObject38.bin" ContentType="application/vnd.openxmlformats-officedocument.oleObject"/>
  <Override PartName="/xl/embeddings/oleObject39.bin" ContentType="application/vnd.openxmlformats-officedocument.oleObject"/>
  <Override PartName="/xl/embeddings/oleObject40.bin" ContentType="application/vnd.openxmlformats-officedocument.oleObject"/>
  <Override PartName="/xl/embeddings/oleObject41.bin" ContentType="application/vnd.openxmlformats-officedocument.oleObject"/>
  <Override PartName="/xl/embeddings/oleObject42.bin" ContentType="application/vnd.openxmlformats-officedocument.oleObject"/>
  <Override PartName="/xl/embeddings/oleObject43.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https://societyofactuaries-my.sharepoint.com/personal/dnorris_soa_org/Documents/Documents/Projects/2025-26 Curriculum/FINAL CURATED PAST EXAMS/Fully Assembled/"/>
    </mc:Choice>
  </mc:AlternateContent>
  <xr:revisionPtr revIDLastSave="3" documentId="8_{58EA9C02-D306-4E66-AF7E-3E9E5BC59413}" xr6:coauthVersionLast="47" xr6:coauthVersionMax="47" xr10:uidLastSave="{7D3C1F02-6DC5-4A1A-B262-DDD2728A5C11}"/>
  <bookViews>
    <workbookView xWindow="28680" yWindow="-120" windowWidth="38640" windowHeight="21120" tabRatio="879" xr2:uid="{0199C817-F298-4D02-B47D-6B508A1177A0}"/>
  </bookViews>
  <sheets>
    <sheet name="Cover " sheetId="374" r:id="rId1"/>
    <sheet name="ILA 201 Questions and Solutions" sheetId="232" r:id="rId2"/>
    <sheet name="Fall 2024--&gt;" sheetId="361" r:id="rId3"/>
    <sheet name="F24 Q1(a),(b) Question" sheetId="362" r:id="rId4"/>
    <sheet name="F24 Q2(a)i,(c)i,ii Question" sheetId="363" r:id="rId5"/>
    <sheet name="F24 Q3(b) Question" sheetId="364" r:id="rId6"/>
    <sheet name="F24 Q3(b) Solution" sheetId="369" r:id="rId7"/>
    <sheet name="F24 Q4(a),(c) Question" sheetId="365" r:id="rId8"/>
    <sheet name="F24 Q4 Solution" sheetId="370" r:id="rId9"/>
    <sheet name="F24 Q5(a)i,(b)i,ii Question" sheetId="366" r:id="rId10"/>
    <sheet name="F24 Q5 Solution" sheetId="371" r:id="rId11"/>
    <sheet name="F24 Q6(a) Question" sheetId="367" r:id="rId12"/>
    <sheet name="F24 Q6(a) Solution" sheetId="372" r:id="rId13"/>
    <sheet name="F24 Q8(b) Question" sheetId="368" r:id="rId14"/>
    <sheet name="F24 Q8 Solution" sheetId="373" r:id="rId15"/>
    <sheet name="Spring 2024-&gt;" sheetId="320" r:id="rId16"/>
    <sheet name="S24 Q1(b),(c) Question" sheetId="310" r:id="rId17"/>
    <sheet name="S24 Q1 Solution" sheetId="318" r:id="rId18"/>
    <sheet name="S24 Q2(a) i_ii Question" sheetId="311" r:id="rId19"/>
    <sheet name="S24 Q3(c) Question (NLR)" sheetId="312" r:id="rId20"/>
    <sheet name="S24 Q4(b) Question" sheetId="313" r:id="rId21"/>
    <sheet name="S24 Q4 Solution" sheetId="319" r:id="rId22"/>
    <sheet name="S24 Q5(c)i_ii_iii Question(NLR)" sheetId="314" r:id="rId23"/>
    <sheet name="S24 Q6(a),(b),(c)i_ii Question" sheetId="315" r:id="rId24"/>
    <sheet name="S24 Q8(a) ii, (b) Question" sheetId="316" r:id="rId25"/>
    <sheet name="S24 Q9(a) Question (NLR)" sheetId="317" r:id="rId26"/>
    <sheet name="Fall 2023-&gt;" sheetId="322" r:id="rId27"/>
    <sheet name="F23 Q1(b) i_ii" sheetId="323" r:id="rId28"/>
    <sheet name="F23 Q2(a)(b)" sheetId="324" r:id="rId29"/>
    <sheet name="F23 Q3(a)(b)(c)" sheetId="325" r:id="rId30"/>
    <sheet name="F23 Q3(a) Solution" sheetId="333" r:id="rId31"/>
    <sheet name="F23 Q3(b) Solution" sheetId="334" r:id="rId32"/>
    <sheet name="F23 Q3(c) Solutions" sheetId="335" r:id="rId33"/>
    <sheet name="F23 Q4(a) i_ii(NLR)" sheetId="326" r:id="rId34"/>
    <sheet name="F23 Q4(a) Solution(NLR)" sheetId="336" r:id="rId35"/>
    <sheet name="F23 Q5(d)i" sheetId="327" r:id="rId36"/>
    <sheet name="F23 Q6(b)" sheetId="328" r:id="rId37"/>
    <sheet name="F23 Q6(b) Solution" sheetId="337" r:id="rId38"/>
    <sheet name="F23 Q7(c) i_ii" sheetId="329" r:id="rId39"/>
    <sheet name="F23 Q8(a)i_ii,(b)(NLR)" sheetId="330" r:id="rId40"/>
    <sheet name="F23 Q9(a)i_ii(NLR)" sheetId="331" r:id="rId41"/>
    <sheet name="F23 Q10(b)i-v (NLR)" sheetId="332" r:id="rId42"/>
    <sheet name="Spring 2023 --&gt;" sheetId="346" r:id="rId43"/>
    <sheet name="S23 Q2(b) i_ii" sheetId="338" r:id="rId44"/>
    <sheet name="S23 Q3(a),(b) i_ii" sheetId="339" r:id="rId45"/>
    <sheet name="S23 Q4(b) i_ii" sheetId="340" r:id="rId46"/>
    <sheet name="S23 Q4 Solution" sheetId="347" r:id="rId47"/>
    <sheet name="S23 Q5(a)" sheetId="341" r:id="rId48"/>
    <sheet name="S23 Q5 Solution" sheetId="348" r:id="rId49"/>
    <sheet name="S23 Q6(a) (NLR)" sheetId="342" r:id="rId50"/>
    <sheet name="S23 Q7(b),(c)i-iv" sheetId="343" r:id="rId51"/>
    <sheet name="S23 Q8(a) i_ii, (b) i_ii (NLR)" sheetId="344" r:id="rId52"/>
    <sheet name="S23 Q9(b (NLR))" sheetId="345" r:id="rId53"/>
    <sheet name="Fall 2022 --&gt;" sheetId="349" r:id="rId54"/>
    <sheet name="F22 Q1(a)(c) (NLR)" sheetId="353" r:id="rId55"/>
    <sheet name="F22 Q4(c)" sheetId="354" r:id="rId56"/>
    <sheet name="F22 Q6(b) (NLR)" sheetId="355" r:id="rId57"/>
    <sheet name="F22 Q7(b)(c)" sheetId="356" r:id="rId58"/>
    <sheet name="F22 Q9(b)" sheetId="357" r:id="rId59"/>
    <sheet name="F22 Q9(b) Solution" sheetId="359" r:id="rId60"/>
    <sheet name="F22 Q10(a)" sheetId="358" r:id="rId61"/>
    <sheet name="F22 Q10(a) Solution" sheetId="360" r:id="rId62"/>
    <sheet name="Spring 2022 --&gt;" sheetId="350" r:id="rId63"/>
    <sheet name="S22 2(d) Question" sheetId="291" r:id="rId64"/>
    <sheet name="S22 3(b) Question" sheetId="292" r:id="rId65"/>
    <sheet name="S22 4(d) Question" sheetId="293" r:id="rId66"/>
    <sheet name="S22 5(a)(i) Question" sheetId="294" r:id="rId67"/>
    <sheet name="S22 5(a)(ii) Question" sheetId="299" r:id="rId68"/>
    <sheet name="S22 5(a)(iii) Question" sheetId="300" r:id="rId69"/>
    <sheet name="S22 5(a)(i)(ii)(iii) Solution" sheetId="308" r:id="rId70"/>
    <sheet name="S22 6(a) Question" sheetId="295" r:id="rId71"/>
    <sheet name="S22 6(b) Question" sheetId="301" r:id="rId72"/>
    <sheet name="S22 6(c)(i) Question" sheetId="302" r:id="rId73"/>
    <sheet name="S22 6(c)(ii) Question" sheetId="303" r:id="rId74"/>
    <sheet name="S22 6(c)(iii) Question" sheetId="304" r:id="rId75"/>
    <sheet name="S22 6(c)(iv) Question" sheetId="305" r:id="rId76"/>
    <sheet name="S22 6(a)(b)(c) Solution" sheetId="309" r:id="rId77"/>
    <sheet name="S22 7(a) Question" sheetId="296" r:id="rId78"/>
    <sheet name="S22 8(b) Question" sheetId="297" r:id="rId79"/>
    <sheet name="S22 9(b)(i) Question" sheetId="298" r:id="rId80"/>
    <sheet name="S22 9(b)(ii) Question" sheetId="306" r:id="rId81"/>
    <sheet name="S22 9(b)(iii) Question" sheetId="307" r:id="rId82"/>
    <sheet name="Fall 2021- --&gt;" sheetId="351" r:id="rId83"/>
    <sheet name="F21 2(a) Question" sheetId="266" r:id="rId84"/>
    <sheet name="F21 2(b) Question" sheetId="276" r:id="rId85"/>
    <sheet name="F21 2(a)(b) Solution" sheetId="290" r:id="rId86"/>
    <sheet name="F21 3(a) Question" sheetId="267" r:id="rId87"/>
    <sheet name="F21 3(c) Question" sheetId="277" r:id="rId88"/>
    <sheet name="F21 3(d) Question" sheetId="278" r:id="rId89"/>
    <sheet name="F21 4(a) Question" sheetId="268" r:id="rId90"/>
    <sheet name="F21 4(b)(i) Question" sheetId="279" r:id="rId91"/>
    <sheet name="F21 4(b)(ii) Question" sheetId="281" r:id="rId92"/>
    <sheet name="F21 5(a)(i) Question" sheetId="269" r:id="rId93"/>
    <sheet name="F21 5(a)(ii) Question" sheetId="282" r:id="rId94"/>
    <sheet name="F21 5(a)(iii) Question" sheetId="283" r:id="rId95"/>
    <sheet name="F21 5(a)(iv) Question" sheetId="284" r:id="rId96"/>
    <sheet name="F21 6(a)(i) Question" sheetId="270" r:id="rId97"/>
    <sheet name="F21 6(a)(ii) Question" sheetId="285" r:id="rId98"/>
    <sheet name="F21 7(c) Question" sheetId="271" r:id="rId99"/>
    <sheet name="F21 8(c) Question" sheetId="272" r:id="rId100"/>
    <sheet name="F21 9(b) Question" sheetId="273" r:id="rId101"/>
    <sheet name="F21 9(c)(i) Question" sheetId="286" r:id="rId102"/>
    <sheet name="F21 9(c)(ii) Question" sheetId="287" r:id="rId103"/>
    <sheet name="F21 10(a)(i) Question" sheetId="274" r:id="rId104"/>
    <sheet name="F21 10(a)(ii) Question" sheetId="288" r:id="rId105"/>
    <sheet name="F21 10(b)(ii) Question" sheetId="289" r:id="rId106"/>
    <sheet name="Spring 2021 --&gt;" sheetId="352" r:id="rId107"/>
    <sheet name="S21 1(c) Question" sheetId="244" r:id="rId108"/>
    <sheet name="S21 3(a)(i) Question" sheetId="245" r:id="rId109"/>
    <sheet name="S21 3(a)(ii) Question" sheetId="252" r:id="rId110"/>
    <sheet name="S21 4(b)(i) Question" sheetId="246" r:id="rId111"/>
    <sheet name="S21 4(b)(ii) Question" sheetId="253" r:id="rId112"/>
    <sheet name="S21 5(a) Question" sheetId="247" r:id="rId113"/>
    <sheet name="S21 5(d)(i) Question" sheetId="254" r:id="rId114"/>
    <sheet name="S21 5(d)(ii) Question" sheetId="255" r:id="rId115"/>
    <sheet name="S21 5(d)(iii) Question" sheetId="256" r:id="rId116"/>
    <sheet name="S21 5(d)(iv) Question" sheetId="257" r:id="rId117"/>
    <sheet name="S21 5(e) Question" sheetId="258" r:id="rId118"/>
    <sheet name="S21 6(a) Question" sheetId="248" r:id="rId119"/>
    <sheet name="S21 6(b) Question" sheetId="259" r:id="rId120"/>
    <sheet name="S21 8(d)(i) Question" sheetId="249" r:id="rId121"/>
    <sheet name="S21 8(d)(ii) Question" sheetId="260" r:id="rId122"/>
    <sheet name="S21 9(b)(i) Question" sheetId="250" r:id="rId123"/>
    <sheet name="S21 9(b)(ii) Question" sheetId="261" r:id="rId124"/>
    <sheet name="S21 10(b)(i) Question" sheetId="251" r:id="rId125"/>
    <sheet name="S21 10(b)(ii) Question" sheetId="262" r:id="rId126"/>
    <sheet name="Fall 2020 --&gt;" sheetId="321" r:id="rId127"/>
    <sheet name="F20 Q1 (d) Question" sheetId="233" r:id="rId128"/>
    <sheet name="F20 Q2 (b) Question" sheetId="234" r:id="rId129"/>
    <sheet name="F20 Q2 (c)(i) Question" sheetId="241" r:id="rId130"/>
    <sheet name="F20 3(d)(ii) Question" sheetId="235" r:id="rId131"/>
    <sheet name="F20 4(d) Question" sheetId="236" r:id="rId132"/>
    <sheet name="F20 5(a)(i)(ii) Question" sheetId="237" r:id="rId133"/>
    <sheet name="F20 6(b) Question" sheetId="238" r:id="rId134"/>
    <sheet name="F20 9(b)(i)Question" sheetId="239" r:id="rId135"/>
    <sheet name="F20 9(b)(ii)Question" sheetId="263" r:id="rId136"/>
    <sheet name="F20 10 (b)(i) Question" sheetId="240" r:id="rId137"/>
    <sheet name="F20 10 (b)(ii) Question" sheetId="264" r:id="rId138"/>
    <sheet name="F20 10 (c)(i) Question" sheetId="242" r:id="rId139"/>
    <sheet name="F20 10 (c)(ii) Question" sheetId="265" r:id="rId140"/>
  </sheets>
  <externalReferences>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s>
  <definedNames>
    <definedName name="\Z">#REF!</definedName>
    <definedName name="\Za">#REF!</definedName>
    <definedName name="__123Graph_BCHART91a" localSheetId="6" hidden="1">[1]Input!#REF!</definedName>
    <definedName name="__123Graph_BCHART91a" localSheetId="8" hidden="1">[1]Input!#REF!</definedName>
    <definedName name="__123Graph_BCHART91a" hidden="1">[1]Input!#REF!</definedName>
    <definedName name="_Fill" localSheetId="6" hidden="1">#REF!</definedName>
    <definedName name="_Fill" localSheetId="8" hidden="1">#REF!</definedName>
    <definedName name="_Fill" hidden="1">#REF!</definedName>
    <definedName name="_Hlk124333752" localSheetId="3">'F24 Q1(a),(b) Question'!#REF!</definedName>
    <definedName name="_Hlk125885798" localSheetId="39">'F23 Q8(a)i_ii,(b)(NLR)'!$A$15</definedName>
    <definedName name="_Hlk46570471" localSheetId="3">'F24 Q1(a),(b) Question'!#REF!</definedName>
    <definedName name="_Hlk46570471" localSheetId="70">'S22 6(a) Question'!#REF!</definedName>
    <definedName name="_Hlk46570471" localSheetId="71">'S22 6(b) Question'!#REF!</definedName>
    <definedName name="_Hlk46570471" localSheetId="72">'S22 6(c)(i) Question'!#REF!</definedName>
    <definedName name="_Hlk46570471" localSheetId="73">'S22 6(c)(ii) Question'!#REF!</definedName>
    <definedName name="_Hlk46570471" localSheetId="74">'S22 6(c)(iii) Question'!#REF!</definedName>
    <definedName name="_Hlk46570471" localSheetId="75">'S22 6(c)(iv) Question'!#REF!</definedName>
    <definedName name="_Hlk46570471" localSheetId="16">'S24 Q1(b),(c) Question'!#REF!</definedName>
    <definedName name="_Hlk75344667" localSheetId="103">'F21 10(a)(i) Question'!#REF!</definedName>
    <definedName name="_Hlk75344667" localSheetId="104">'F21 10(a)(ii) Question'!#REF!</definedName>
    <definedName name="_Hlk75344667" localSheetId="105">'F21 10(b)(ii) Question'!#REF!</definedName>
    <definedName name="_Hlk75344667" localSheetId="92">'F21 5(a)(i) Question'!#REF!</definedName>
    <definedName name="_Hlk75344667" localSheetId="93">'F21 5(a)(ii) Question'!#REF!</definedName>
    <definedName name="_Hlk75344667" localSheetId="94">'F21 5(a)(iii) Question'!$A$28</definedName>
    <definedName name="_Hlk75344667" localSheetId="95">'F21 5(a)(iv) Question'!#REF!</definedName>
    <definedName name="_Hlk75344667" localSheetId="96">'F21 6(a)(i) Question'!#REF!</definedName>
    <definedName name="_Hlk75344667" localSheetId="97">'F21 6(a)(ii) Question'!#REF!</definedName>
    <definedName name="_Hlk75344667" localSheetId="98">'F21 7(c) Question'!#REF!</definedName>
    <definedName name="_Hlk75344667" localSheetId="99">'F21 8(c) Question'!#REF!</definedName>
    <definedName name="_Hlk75344667" localSheetId="100">'F21 9(b) Question'!#REF!</definedName>
    <definedName name="_Hlk75344667" localSheetId="101">'F21 9(c)(i) Question'!#REF!</definedName>
    <definedName name="_Hlk75344667" localSheetId="102">'F21 9(c)(ii) Question'!#REF!</definedName>
    <definedName name="_Hlk76899649" localSheetId="103">'F21 10(a)(i) Question'!#REF!</definedName>
    <definedName name="_Hlk76899649" localSheetId="104">'F21 10(a)(ii) Question'!#REF!</definedName>
    <definedName name="_Hlk76899649" localSheetId="105">'F21 10(b)(ii) Question'!#REF!</definedName>
    <definedName name="_Hlk76899649" localSheetId="100">'F21 9(b) Question'!$A$18</definedName>
    <definedName name="_Hlk76899649" localSheetId="101">'F21 9(c)(i) Question'!$A$18</definedName>
    <definedName name="_Hlk76899649" localSheetId="102">'F21 9(c)(ii) Question'!$A$18</definedName>
    <definedName name="_Hlk76899653" localSheetId="103">'F21 10(a)(i) Question'!#REF!</definedName>
    <definedName name="_Hlk76899653" localSheetId="104">'F21 10(a)(ii) Question'!#REF!</definedName>
    <definedName name="_Hlk76899653" localSheetId="105">'F21 10(b)(ii) Question'!#REF!</definedName>
    <definedName name="_Hlk76899653" localSheetId="100">'F21 9(b) Question'!$A$24</definedName>
    <definedName name="_Hlk76899653" localSheetId="101">'F21 9(c)(i) Question'!$A$24</definedName>
    <definedName name="_Hlk76899653" localSheetId="102">'F21 9(c)(ii) Question'!$A$24</definedName>
    <definedName name="_IV100000">#REF!</definedName>
    <definedName name="_max8">#REF!</definedName>
    <definedName name="_min8">#REF!</definedName>
    <definedName name="_V122544">#REF!</definedName>
    <definedName name="Allocations">#REF!</definedName>
    <definedName name="Average1">[2]Input!$E$10</definedName>
    <definedName name="Base">#REF!</definedName>
    <definedName name="chicago">'[3]SZ-1-2013 (MH)'!$B$9:$B$16</definedName>
    <definedName name="CLIFR">#REF!</definedName>
    <definedName name="CognitiveLevels" localSheetId="61">'[4]syllabus list'!$C$159:$C$162</definedName>
    <definedName name="CognitiveLevels" localSheetId="6">#REF!</definedName>
    <definedName name="CognitiveLevels" localSheetId="8">'[5]syllabus list'!$C$118:$C$121</definedName>
    <definedName name="CognitiveLevels" localSheetId="69">'[6]syllabus list'!$C$159:$C$162</definedName>
    <definedName name="CognitiveLevels" localSheetId="76">'[7]syllabus list'!$C$159:$C$162</definedName>
    <definedName name="CognitiveLevels" localSheetId="21">'[8]syllabus list'!$C$118:$C$121</definedName>
    <definedName name="CognitiveLevels">#REF!</definedName>
    <definedName name="CommonGuidance">#REF!</definedName>
    <definedName name="cycle" localSheetId="76">#REF!</definedName>
    <definedName name="cycle">#REF!</definedName>
    <definedName name="cycle3" localSheetId="76">#REF!</definedName>
    <definedName name="cycle3">#REF!</definedName>
    <definedName name="Cycle5" localSheetId="76">#REF!</definedName>
    <definedName name="Cycle5">#REF!</definedName>
    <definedName name="CycleTable">#REF!</definedName>
    <definedName name="DATE">#REF!</definedName>
    <definedName name="DELETE_RANGE">#REF!</definedName>
    <definedName name="ERR">#REF!</definedName>
    <definedName name="EXTRA_TESTS">#REF!</definedName>
    <definedName name="FaceAmount">#REF!</definedName>
    <definedName name="First_Shock">[2]Input!$B$2</definedName>
    <definedName name="FSSplit" localSheetId="6">#REF!</definedName>
    <definedName name="FSSplit">#REF!</definedName>
    <definedName name="GETDATA">#REF!</definedName>
    <definedName name="GOV10YBO">#REF!</definedName>
    <definedName name="GOV15YBO">#REF!</definedName>
    <definedName name="GOV1YBO">#REF!</definedName>
    <definedName name="GOV20YBO">#REF!</definedName>
    <definedName name="GOV2YBO">#REF!</definedName>
    <definedName name="GOV3YBO">#REF!</definedName>
    <definedName name="GOV4YBO">#REF!</definedName>
    <definedName name="GOV5YBO">#REF!</definedName>
    <definedName name="GOV7YBO">#REF!</definedName>
    <definedName name="Gt">[2]Input!$B$21</definedName>
    <definedName name="INPUT1">#REF!</definedName>
    <definedName name="INPUT1_CODE">#REF!</definedName>
    <definedName name="INPUT1_ID">#REF!</definedName>
    <definedName name="INPUT1_PASSWORD">#REF!</definedName>
    <definedName name="INPUT1_VALN_DAT">#REF!</definedName>
    <definedName name="INTQ">#REF!</definedName>
    <definedName name="INTR">#REF!</definedName>
    <definedName name="INVERTED_TEST15">#REF!</definedName>
    <definedName name="INVERTED_TEST16">#REF!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sue_Age">[2]Input!$B$1</definedName>
    <definedName name="langue">IF('[9]Input - Entrée de données'!$I$1="Anglais / English",1,2)</definedName>
    <definedName name="LCAllocate">#REF!</definedName>
    <definedName name="LO_1">#REF!</definedName>
    <definedName name="LO_2">#REF!</definedName>
    <definedName name="LO_3">#REF!</definedName>
    <definedName name="LO_4">#REF!</definedName>
    <definedName name="LO_5">#REF!</definedName>
    <definedName name="LO_6">#REF!</definedName>
    <definedName name="LockedInRate">#REF!</definedName>
    <definedName name="LOList">#REF!</definedName>
    <definedName name="LongMax">#REF!</definedName>
    <definedName name="LongMaxAdj">#REF!</definedName>
    <definedName name="LongMaxAdjRate">#REF!</definedName>
    <definedName name="LongMaxMA">#REF!</definedName>
    <definedName name="LongMaxRange">#REF!</definedName>
    <definedName name="LongMin">#REF!</definedName>
    <definedName name="LongMinAdj">#REF!</definedName>
    <definedName name="LongMinAdjRate">#REF!</definedName>
    <definedName name="LongMinMA">#REF!</definedName>
    <definedName name="LongMinRange">#REF!</definedName>
    <definedName name="LongTermWeight">#REF!</definedName>
    <definedName name="LT_High">[10]Base!$M$5</definedName>
    <definedName name="LT_Low">[10]Base!$K$5</definedName>
    <definedName name="LT_Med">[11]Derivation!$J$52</definedName>
    <definedName name="LT_Med_input">'[9]Input - Entrée de données'!$D$21</definedName>
    <definedName name="MAXIMUM_RATE">#REF!</definedName>
    <definedName name="MaxRate">#REF!</definedName>
    <definedName name="MINIMUM_RATE">#REF!</definedName>
    <definedName name="MinRate">#REF!</definedName>
    <definedName name="Mult">[2]Input!$G$4:$I$19</definedName>
    <definedName name="OLE_LINK1" localSheetId="50">'S23 Q7(b),(c)i-iv'!$A$5</definedName>
    <definedName name="OLE_LINK2" localSheetId="28">'F23 Q2(a)(b)'!$A$42</definedName>
    <definedName name="P_S_RESULT">#REF!</definedName>
    <definedName name="Premium">#REF!</definedName>
    <definedName name="PRESCRIB_TEST17">#REF!</definedName>
    <definedName name="PRESCRIB_TEST18">#REF!</definedName>
    <definedName name="PRESCRIB_TEST19">#REF!</definedName>
    <definedName name="PRESCRIB_TEST20">#REF!</definedName>
    <definedName name="_xlnm.Print_Area" localSheetId="21">'S24 Q4 Solution'!$A$1:$L$16</definedName>
    <definedName name="PRINT_IND">#REF!</definedName>
    <definedName name="PRINT_NOW">#REF!</definedName>
    <definedName name="PRINT_SELECTION">#REF!</definedName>
    <definedName name="PrintRate">#REF!</definedName>
    <definedName name="PRNT_SPOT_RATES">#REF!</definedName>
    <definedName name="PRT_ALL_TESTS">#REF!</definedName>
    <definedName name="PRT_INDICATORS">#REF!</definedName>
    <definedName name="PRT_INVERTED">#REF!</definedName>
    <definedName name="PRT_NOTHING">#REF!</definedName>
    <definedName name="PRT_PRESCRIBED">#REF!</definedName>
    <definedName name="PRT_REGULAR">#REF!</definedName>
    <definedName name="PRT_SELECT_ALL">#REF!</definedName>
    <definedName name="PRT_SELECTIONS">#REF!</definedName>
    <definedName name="PRT_SPOT_RATES">#REF!</definedName>
    <definedName name="Q_sources">#REF!</definedName>
    <definedName name="R_BK">[2]Input!$B$20</definedName>
    <definedName name="RateTable">#REF!</definedName>
    <definedName name="RegTable">#REF!</definedName>
    <definedName name="REGULAR_TEST1">#REF!</definedName>
    <definedName name="REGULAR_TEST10">#REF!</definedName>
    <definedName name="REGULAR_TEST11">#REF!</definedName>
    <definedName name="REGULAR_TEST12">#REF!</definedName>
    <definedName name="REGULAR_TEST13">#REF!</definedName>
    <definedName name="REGULAR_TEST14">#REF!</definedName>
    <definedName name="REGULAR_TEST2">#REF!</definedName>
    <definedName name="REGULAR_TEST3">#REF!</definedName>
    <definedName name="REGULAR_TEST4">#REF!</definedName>
    <definedName name="REGULAR_TEST5">#REF!</definedName>
    <definedName name="REGULAR_TEST6">#REF!</definedName>
    <definedName name="REGULAR_TEST7">#REF!</definedName>
    <definedName name="REGULAR_TEST8">#REF!</definedName>
    <definedName name="REGULAR_TEST9">#REF!</definedName>
    <definedName name="RiskAdj">#REF!</definedName>
    <definedName name="ScenTable">#REF!</definedName>
    <definedName name="Selective1">[2]Input!$E$11</definedName>
    <definedName name="SETDATE">#REF!</definedName>
    <definedName name="ShortMax">#REF!</definedName>
    <definedName name="ShortMaxAdj">#REF!</definedName>
    <definedName name="ShortMaxAdjRate">#REF!</definedName>
    <definedName name="ShortMaxMA">#REF!</definedName>
    <definedName name="ShortMaxRange">#REF!</definedName>
    <definedName name="ShortMin">#REF!</definedName>
    <definedName name="ShortMinAdj">#REF!</definedName>
    <definedName name="ShortMinAdjRate">#REF!</definedName>
    <definedName name="ShortMinMA">#REF!</definedName>
    <definedName name="ShortMinRange">#REF!</definedName>
    <definedName name="ShortTermWeight">#REF!</definedName>
    <definedName name="ST_Med">'[12]Input - Entrée de données'!#REF!</definedName>
    <definedName name="ST_Med_input">'[9]Input - Entrée de données'!$D$20</definedName>
    <definedName name="Step" localSheetId="76">#REF!</definedName>
    <definedName name="Step">#REF!</definedName>
    <definedName name="StepTable" localSheetId="76">#REF!</definedName>
    <definedName name="StepTable">#REF!</definedName>
    <definedName name="SyllabusListing" localSheetId="61">'[4]syllabus list'!$D$4:$D$151</definedName>
    <definedName name="SyllabusListing" localSheetId="6">#REF!</definedName>
    <definedName name="SyllabusListing" localSheetId="8">'[5]syllabus list'!$D$4:$D$111</definedName>
    <definedName name="SyllabusListing" localSheetId="69">'[6]syllabus list'!$D$4:$D$151</definedName>
    <definedName name="SyllabusListing" localSheetId="76">'[7]syllabus list'!$D$4:$D$151</definedName>
    <definedName name="SyllabusListing" localSheetId="46">'[13]syllabus list'!$D$4:$D$106</definedName>
    <definedName name="SyllabusListing" localSheetId="21">'[8]syllabus list'!$D$4:$D$111</definedName>
    <definedName name="SyllabusListing">#REF!</definedName>
    <definedName name="TBILL1M" localSheetId="76">#REF!</definedName>
    <definedName name="TBILL1M">#REF!</definedName>
    <definedName name="TBILL2M" localSheetId="76">#REF!</definedName>
    <definedName name="TBILL2M">#REF!</definedName>
    <definedName name="TBILL3M" localSheetId="76">#REF!</definedName>
    <definedName name="TBILL3M">#REF!</definedName>
    <definedName name="TBILL6M">#REF!</definedName>
    <definedName name="TEST_10_INCR">#REF!</definedName>
    <definedName name="TEST_11_DECR">#REF!</definedName>
    <definedName name="TEST_17_INV_">#REF!</definedName>
    <definedName name="TEST_17_STEEP_">#REF!</definedName>
    <definedName name="TEST_3_CHGE">#REF!</definedName>
    <definedName name="TEST_4_INCR">#REF!</definedName>
    <definedName name="TEST_6_INCREASE">#REF!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ITLE1">#REF!</definedName>
    <definedName name="TITLE10">#REF!</definedName>
    <definedName name="TITLE11">#REF!</definedName>
    <definedName name="TITLE16">#REF!</definedName>
    <definedName name="TITLE17">#REF!</definedName>
    <definedName name="TITLE18">#REF!</definedName>
    <definedName name="TITLE2">#REF!</definedName>
    <definedName name="TITLE21">#REF!</definedName>
    <definedName name="TITLE3">#REF!</definedName>
    <definedName name="TITLE4">#REF!</definedName>
    <definedName name="TITLE5">#REF!</definedName>
    <definedName name="TITLE6">#REF!</definedName>
    <definedName name="TITLE8">#REF!</definedName>
    <definedName name="TITLE9">#REF!</definedName>
    <definedName name="Total">#REF!</definedName>
    <definedName name="VALN_DATE">#REF!</definedName>
    <definedName name="VALUATION_DATE">#REF!</definedName>
    <definedName name="Yield01">#REF!</definedName>
    <definedName name="Yield02">#REF!</definedName>
    <definedName name="Yield03">#REF!</definedName>
    <definedName name="Yield04">#REF!</definedName>
    <definedName name="Yield05">#REF!</definedName>
    <definedName name="Yield06">#REF!</definedName>
    <definedName name="Yield07">#REF!</definedName>
    <definedName name="Yield08">#REF!</definedName>
    <definedName name="Yield09">#REF!</definedName>
    <definedName name="Yield10">#REF!</definedName>
    <definedName name="Yield11">#REF!</definedName>
    <definedName name="Yield12">#REF!</definedName>
    <definedName name="Yield13">#REF!</definedName>
    <definedName name="Yield14">#REF!</definedName>
    <definedName name="Yield15">#REF!</definedName>
    <definedName name="Yield16">#REF!</definedName>
    <definedName name="Yield17">#REF!</definedName>
    <definedName name="Yield18">#REF!</definedName>
    <definedName name="Yield19">#REF!</definedName>
    <definedName name="Yield20">#REF!</definedName>
    <definedName name="YieldCurv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 i="373" l="1"/>
  <c r="B20" i="373"/>
  <c r="B21" i="373"/>
  <c r="B25" i="373"/>
  <c r="B26" i="373"/>
  <c r="B31" i="373"/>
  <c r="B36" i="373"/>
  <c r="B41" i="373"/>
  <c r="C22" i="371"/>
  <c r="G22" i="371" s="1"/>
  <c r="E22" i="371"/>
  <c r="C25" i="371"/>
  <c r="E25" i="371"/>
  <c r="E33" i="371" s="1"/>
  <c r="G25" i="371"/>
  <c r="C28" i="371"/>
  <c r="E28" i="371"/>
  <c r="G28" i="371"/>
  <c r="C31" i="371"/>
  <c r="E31" i="371"/>
  <c r="G31" i="371"/>
  <c r="B53" i="371"/>
  <c r="B56" i="371"/>
  <c r="B59" i="371"/>
  <c r="B62" i="371"/>
  <c r="B65" i="371"/>
  <c r="B68" i="371"/>
  <c r="D26" i="370"/>
  <c r="D27" i="370"/>
  <c r="D28" i="370"/>
  <c r="D30" i="370"/>
  <c r="D31" i="370" s="1"/>
  <c r="D57" i="370"/>
  <c r="D59" i="370"/>
  <c r="D60" i="370"/>
  <c r="D61" i="370"/>
  <c r="D62" i="370"/>
  <c r="C10" i="369"/>
  <c r="C25" i="369" s="1"/>
  <c r="C38" i="369" s="1"/>
  <c r="C11" i="369"/>
  <c r="C26" i="369" s="1"/>
  <c r="C39" i="369" s="1"/>
  <c r="C12" i="369"/>
  <c r="C27" i="369" s="1"/>
  <c r="C40" i="369" s="1"/>
  <c r="C13" i="369"/>
  <c r="C28" i="369" s="1"/>
  <c r="C41" i="369" s="1"/>
  <c r="C14" i="369"/>
  <c r="C29" i="369" s="1"/>
  <c r="C42" i="369" s="1"/>
  <c r="C15" i="369"/>
  <c r="C30" i="369" s="1"/>
  <c r="C43" i="369" s="1"/>
  <c r="C24" i="369"/>
  <c r="C31" i="369"/>
  <c r="C44" i="369" s="1"/>
  <c r="C37" i="369"/>
  <c r="B47" i="369" l="1"/>
  <c r="C33" i="371"/>
  <c r="G33" i="371" s="1"/>
  <c r="E7" i="360" l="1"/>
  <c r="F7" i="360"/>
  <c r="G7" i="360"/>
  <c r="H7" i="360"/>
  <c r="J7" i="360"/>
  <c r="L7" i="360" s="1"/>
  <c r="E41" i="360" s="1"/>
  <c r="A8" i="360"/>
  <c r="A9" i="360" s="1"/>
  <c r="A10" i="360" s="1"/>
  <c r="A11" i="360" s="1"/>
  <c r="A12" i="360" s="1"/>
  <c r="A13" i="360" s="1"/>
  <c r="A14" i="360" s="1"/>
  <c r="A15" i="360" s="1"/>
  <c r="A16" i="360" s="1"/>
  <c r="E8" i="360"/>
  <c r="F8" i="360" s="1"/>
  <c r="N8" i="360" s="1"/>
  <c r="G8" i="360"/>
  <c r="H8" i="360"/>
  <c r="D42" i="360" s="1"/>
  <c r="J8" i="360"/>
  <c r="L8" i="360" s="1"/>
  <c r="E42" i="360" s="1"/>
  <c r="E9" i="360"/>
  <c r="F9" i="360" s="1"/>
  <c r="N9" i="360" s="1"/>
  <c r="G9" i="360"/>
  <c r="H9" i="360"/>
  <c r="J9" i="360"/>
  <c r="L9" i="360" s="1"/>
  <c r="E43" i="360" s="1"/>
  <c r="E10" i="360"/>
  <c r="F10" i="360" s="1"/>
  <c r="G10" i="360"/>
  <c r="D26" i="360" s="1"/>
  <c r="H10" i="360"/>
  <c r="J10" i="360"/>
  <c r="L10" i="360" s="1"/>
  <c r="E44" i="360" s="1"/>
  <c r="E11" i="360"/>
  <c r="F11" i="360" s="1"/>
  <c r="N11" i="360" s="1"/>
  <c r="G11" i="360"/>
  <c r="D27" i="360" s="1"/>
  <c r="H11" i="360"/>
  <c r="D45" i="360" s="1"/>
  <c r="J11" i="360"/>
  <c r="L11" i="360" s="1"/>
  <c r="E45" i="360" s="1"/>
  <c r="E12" i="360"/>
  <c r="F12" i="360" s="1"/>
  <c r="N12" i="360" s="1"/>
  <c r="G12" i="360"/>
  <c r="H12" i="360"/>
  <c r="J12" i="360"/>
  <c r="L12" i="360" s="1"/>
  <c r="E46" i="360" s="1"/>
  <c r="E13" i="360"/>
  <c r="F13" i="360" s="1"/>
  <c r="G13" i="360"/>
  <c r="H13" i="360"/>
  <c r="J13" i="360"/>
  <c r="L13" i="360" s="1"/>
  <c r="E47" i="360" s="1"/>
  <c r="E14" i="360"/>
  <c r="F14" i="360" s="1"/>
  <c r="N14" i="360" s="1"/>
  <c r="G14" i="360"/>
  <c r="H14" i="360"/>
  <c r="D48" i="360" s="1"/>
  <c r="J14" i="360"/>
  <c r="L14" i="360" s="1"/>
  <c r="E48" i="360" s="1"/>
  <c r="E15" i="360"/>
  <c r="F15" i="360" s="1"/>
  <c r="N15" i="360" s="1"/>
  <c r="G15" i="360"/>
  <c r="H15" i="360"/>
  <c r="J15" i="360"/>
  <c r="L15" i="360" s="1"/>
  <c r="E49" i="360" s="1"/>
  <c r="E16" i="360"/>
  <c r="F16" i="360" s="1"/>
  <c r="G16" i="360"/>
  <c r="D32" i="360" s="1"/>
  <c r="H16" i="360"/>
  <c r="J16" i="360"/>
  <c r="L16" i="360" s="1"/>
  <c r="E50" i="360" s="1"/>
  <c r="C23" i="360"/>
  <c r="M23" i="360" s="1"/>
  <c r="D23" i="360"/>
  <c r="F23" i="360"/>
  <c r="G23" i="360"/>
  <c r="H23" i="360"/>
  <c r="V23" i="360"/>
  <c r="W23" i="360"/>
  <c r="Y23" i="360"/>
  <c r="A24" i="360"/>
  <c r="D24" i="360"/>
  <c r="V24" i="360"/>
  <c r="W24" i="360" s="1"/>
  <c r="Y24" i="360"/>
  <c r="A25" i="360"/>
  <c r="A26" i="360" s="1"/>
  <c r="A27" i="360" s="1"/>
  <c r="A28" i="360" s="1"/>
  <c r="A29" i="360" s="1"/>
  <c r="A30" i="360" s="1"/>
  <c r="A31" i="360" s="1"/>
  <c r="A32" i="360" s="1"/>
  <c r="C25" i="360"/>
  <c r="D25" i="360"/>
  <c r="V25" i="360"/>
  <c r="W25" i="360"/>
  <c r="Y25" i="360"/>
  <c r="C26" i="360"/>
  <c r="V26" i="360"/>
  <c r="W26" i="360" s="1"/>
  <c r="Y26" i="360"/>
  <c r="Y27" i="360" s="1"/>
  <c r="Y28" i="360" s="1"/>
  <c r="Y29" i="360" s="1"/>
  <c r="Y30" i="360" s="1"/>
  <c r="Y31" i="360" s="1"/>
  <c r="Y32" i="360" s="1"/>
  <c r="V27" i="360"/>
  <c r="W27" i="360"/>
  <c r="C28" i="360"/>
  <c r="D28" i="360"/>
  <c r="V28" i="360"/>
  <c r="W28" i="360" s="1"/>
  <c r="C29" i="360"/>
  <c r="D29" i="360"/>
  <c r="V29" i="360"/>
  <c r="W29" i="360" s="1"/>
  <c r="D30" i="360"/>
  <c r="V30" i="360"/>
  <c r="W30" i="360" s="1"/>
  <c r="C31" i="360"/>
  <c r="D31" i="360"/>
  <c r="V31" i="360"/>
  <c r="W31" i="360"/>
  <c r="C32" i="360"/>
  <c r="V32" i="360"/>
  <c r="W32" i="360"/>
  <c r="C41" i="360"/>
  <c r="D41" i="360"/>
  <c r="F41" i="360"/>
  <c r="M41" i="360" s="1"/>
  <c r="G41" i="360"/>
  <c r="K41" i="360" s="1"/>
  <c r="H41" i="360"/>
  <c r="V41" i="360"/>
  <c r="W41" i="360"/>
  <c r="Y41" i="360"/>
  <c r="Y42" i="360" s="1"/>
  <c r="Y43" i="360" s="1"/>
  <c r="Y44" i="360" s="1"/>
  <c r="Y45" i="360" s="1"/>
  <c r="Y46" i="360" s="1"/>
  <c r="Y47" i="360" s="1"/>
  <c r="Y48" i="360" s="1"/>
  <c r="Y49" i="360" s="1"/>
  <c r="Y50" i="360" s="1"/>
  <c r="A42" i="360"/>
  <c r="C42" i="360"/>
  <c r="F42" i="360"/>
  <c r="V42" i="360"/>
  <c r="W42" i="360" s="1"/>
  <c r="A43" i="360"/>
  <c r="A44" i="360" s="1"/>
  <c r="A45" i="360" s="1"/>
  <c r="A46" i="360" s="1"/>
  <c r="A47" i="360" s="1"/>
  <c r="A48" i="360" s="1"/>
  <c r="A49" i="360" s="1"/>
  <c r="A50" i="360" s="1"/>
  <c r="C43" i="360"/>
  <c r="D43" i="360"/>
  <c r="V43" i="360"/>
  <c r="W43" i="360"/>
  <c r="C44" i="360"/>
  <c r="D44" i="360"/>
  <c r="V44" i="360"/>
  <c r="W44" i="360"/>
  <c r="C45" i="360"/>
  <c r="V45" i="360"/>
  <c r="W45" i="360" s="1"/>
  <c r="C46" i="360"/>
  <c r="D46" i="360"/>
  <c r="V46" i="360"/>
  <c r="W46" i="360" s="1"/>
  <c r="C47" i="360"/>
  <c r="D47" i="360"/>
  <c r="V47" i="360"/>
  <c r="W47" i="360"/>
  <c r="C48" i="360"/>
  <c r="V48" i="360"/>
  <c r="W48" i="360"/>
  <c r="C49" i="360"/>
  <c r="D49" i="360"/>
  <c r="V49" i="360"/>
  <c r="W49" i="360" s="1"/>
  <c r="C50" i="360"/>
  <c r="D50" i="360"/>
  <c r="V50" i="360"/>
  <c r="W50" i="360" s="1"/>
  <c r="B3" i="359"/>
  <c r="C3" i="359" s="1"/>
  <c r="D3" i="359" s="1"/>
  <c r="E3" i="359" s="1"/>
  <c r="F3" i="359" s="1"/>
  <c r="G3" i="359" s="1"/>
  <c r="H3" i="359" s="1"/>
  <c r="I3" i="359" s="1"/>
  <c r="J3" i="359" s="1"/>
  <c r="F8" i="359"/>
  <c r="A9" i="359"/>
  <c r="A10" i="359" s="1"/>
  <c r="A11" i="359" s="1"/>
  <c r="A12" i="359" s="1"/>
  <c r="A13" i="359" s="1"/>
  <c r="F9" i="359"/>
  <c r="F10" i="359"/>
  <c r="F11" i="359"/>
  <c r="F12" i="359"/>
  <c r="F13" i="359"/>
  <c r="F16" i="359"/>
  <c r="G13" i="359" s="1"/>
  <c r="J23" i="360" l="1"/>
  <c r="L23" i="360" s="1"/>
  <c r="N16" i="360"/>
  <c r="N13" i="360"/>
  <c r="N10" i="360"/>
  <c r="N17" i="360" s="1"/>
  <c r="M42" i="360"/>
  <c r="G12" i="359"/>
  <c r="C30" i="360"/>
  <c r="C24" i="360"/>
  <c r="C27" i="360"/>
  <c r="J13" i="359"/>
  <c r="F43" i="360"/>
  <c r="K23" i="360"/>
  <c r="G24" i="360"/>
  <c r="G42" i="360"/>
  <c r="F24" i="360"/>
  <c r="E17" i="358"/>
  <c r="F17" i="358"/>
  <c r="G17" i="358"/>
  <c r="G22" i="358" s="1"/>
  <c r="I22" i="358" s="1"/>
  <c r="E40" i="358" s="1"/>
  <c r="I17" i="358"/>
  <c r="E35" i="358" s="1"/>
  <c r="G36" i="358" s="1"/>
  <c r="E18" i="358"/>
  <c r="F18" i="358"/>
  <c r="D36" i="358" s="1"/>
  <c r="G18" i="358"/>
  <c r="I18" i="358" s="1"/>
  <c r="E36" i="358" s="1"/>
  <c r="E19" i="358"/>
  <c r="F19" i="358"/>
  <c r="A20" i="358"/>
  <c r="E20" i="358"/>
  <c r="F20" i="358"/>
  <c r="G20" i="358"/>
  <c r="I20" i="358"/>
  <c r="E38" i="358" s="1"/>
  <c r="A21" i="358"/>
  <c r="A22" i="358" s="1"/>
  <c r="A23" i="358" s="1"/>
  <c r="A24" i="358" s="1"/>
  <c r="A25" i="358" s="1"/>
  <c r="A26" i="358" s="1"/>
  <c r="E21" i="358"/>
  <c r="F21" i="358"/>
  <c r="D39" i="358" s="1"/>
  <c r="E22" i="358"/>
  <c r="F22" i="358"/>
  <c r="D40" i="358" s="1"/>
  <c r="E23" i="358"/>
  <c r="F23" i="358"/>
  <c r="D41" i="358" s="1"/>
  <c r="G23" i="358"/>
  <c r="I23" i="358" s="1"/>
  <c r="E41" i="358" s="1"/>
  <c r="E24" i="358"/>
  <c r="F24" i="358"/>
  <c r="E25" i="358"/>
  <c r="F25" i="358"/>
  <c r="G25" i="358"/>
  <c r="I25" i="358"/>
  <c r="E26" i="358"/>
  <c r="F26" i="358"/>
  <c r="G26" i="358"/>
  <c r="I26" i="358" s="1"/>
  <c r="E44" i="358" s="1"/>
  <c r="D35" i="358"/>
  <c r="F35" i="358"/>
  <c r="G35" i="358"/>
  <c r="M35" i="358" s="1"/>
  <c r="H35" i="358"/>
  <c r="K35" i="358"/>
  <c r="V35" i="358"/>
  <c r="W35" i="358"/>
  <c r="W39" i="358" s="1"/>
  <c r="A36" i="358"/>
  <c r="F36" i="358"/>
  <c r="V36" i="358"/>
  <c r="A37" i="358"/>
  <c r="D37" i="358"/>
  <c r="V37" i="358"/>
  <c r="A38" i="358"/>
  <c r="A39" i="358" s="1"/>
  <c r="A40" i="358" s="1"/>
  <c r="A41" i="358" s="1"/>
  <c r="A42" i="358" s="1"/>
  <c r="A43" i="358" s="1"/>
  <c r="A44" i="358" s="1"/>
  <c r="D38" i="358"/>
  <c r="V38" i="358"/>
  <c r="V39" i="358"/>
  <c r="V40" i="358"/>
  <c r="W40" i="358"/>
  <c r="V41" i="358"/>
  <c r="W41" i="358" s="1"/>
  <c r="D42" i="358"/>
  <c r="V42" i="358"/>
  <c r="D43" i="358"/>
  <c r="E43" i="358"/>
  <c r="V43" i="358"/>
  <c r="D44" i="358"/>
  <c r="V44" i="358"/>
  <c r="H24" i="360" l="1"/>
  <c r="F25" i="360"/>
  <c r="H42" i="360"/>
  <c r="M24" i="360"/>
  <c r="H43" i="360"/>
  <c r="F44" i="360"/>
  <c r="G25" i="360"/>
  <c r="J24" i="360"/>
  <c r="L24" i="360" s="1"/>
  <c r="K24" i="360"/>
  <c r="G11" i="359"/>
  <c r="H13" i="359"/>
  <c r="I13" i="359" s="1"/>
  <c r="U23" i="360"/>
  <c r="AB23" i="360" s="1"/>
  <c r="AC23" i="360" s="1"/>
  <c r="J42" i="360"/>
  <c r="L42" i="360" s="1"/>
  <c r="G43" i="360"/>
  <c r="K42" i="360"/>
  <c r="J41" i="360"/>
  <c r="J35" i="358"/>
  <c r="G37" i="358"/>
  <c r="J36" i="358"/>
  <c r="L36" i="358" s="1"/>
  <c r="K36" i="358"/>
  <c r="H36" i="358"/>
  <c r="W38" i="358"/>
  <c r="M36" i="358"/>
  <c r="G24" i="358"/>
  <c r="I24" i="358" s="1"/>
  <c r="E42" i="358" s="1"/>
  <c r="W43" i="358"/>
  <c r="W37" i="358"/>
  <c r="G19" i="358"/>
  <c r="I19" i="358" s="1"/>
  <c r="E37" i="358" s="1"/>
  <c r="W44" i="358"/>
  <c r="W42" i="358"/>
  <c r="W36" i="358"/>
  <c r="Y35" i="358"/>
  <c r="Y36" i="358" s="1"/>
  <c r="Y37" i="358" s="1"/>
  <c r="Y38" i="358" s="1"/>
  <c r="Y39" i="358" s="1"/>
  <c r="Y40" i="358" s="1"/>
  <c r="Y41" i="358" s="1"/>
  <c r="Y42" i="358" s="1"/>
  <c r="Y43" i="358" s="1"/>
  <c r="Y44" i="358" s="1"/>
  <c r="G21" i="358"/>
  <c r="I21" i="358" s="1"/>
  <c r="E39" i="358" s="1"/>
  <c r="F37" i="358"/>
  <c r="D24" i="348"/>
  <c r="B25" i="348"/>
  <c r="B26" i="348" s="1"/>
  <c r="C25" i="348"/>
  <c r="D25" i="348" s="1"/>
  <c r="E25" i="348"/>
  <c r="F25" i="348" s="1"/>
  <c r="J25" i="348"/>
  <c r="J26" i="348" s="1"/>
  <c r="K25" i="348"/>
  <c r="K26" i="348"/>
  <c r="K27" i="348" s="1"/>
  <c r="H4" i="347"/>
  <c r="B5" i="347"/>
  <c r="B6" i="347" s="1"/>
  <c r="D6" i="347"/>
  <c r="D7" i="347" s="1"/>
  <c r="C7" i="347"/>
  <c r="C8" i="347" s="1"/>
  <c r="C20" i="347"/>
  <c r="F20" i="347"/>
  <c r="G20" i="347"/>
  <c r="H21" i="347" s="1"/>
  <c r="H20" i="347"/>
  <c r="I20" i="347"/>
  <c r="B21" i="347"/>
  <c r="C21" i="347"/>
  <c r="D21" i="347"/>
  <c r="E21" i="347"/>
  <c r="F21" i="347"/>
  <c r="F22" i="347" s="1"/>
  <c r="B22" i="347"/>
  <c r="B23" i="347" s="1"/>
  <c r="B24" i="347" s="1"/>
  <c r="B25" i="347" s="1"/>
  <c r="B26" i="347" s="1"/>
  <c r="B27" i="347" s="1"/>
  <c r="B28" i="347" s="1"/>
  <c r="B29" i="347" s="1"/>
  <c r="H25" i="360" l="1"/>
  <c r="F26" i="360"/>
  <c r="M25" i="360"/>
  <c r="G10" i="359"/>
  <c r="H12" i="359"/>
  <c r="I12" i="359" s="1"/>
  <c r="J12" i="359"/>
  <c r="T23" i="360"/>
  <c r="AA23" i="360"/>
  <c r="G26" i="360"/>
  <c r="J25" i="360"/>
  <c r="L25" i="360" s="1"/>
  <c r="K25" i="360"/>
  <c r="L41" i="360"/>
  <c r="U41" i="360"/>
  <c r="Z41" i="360" s="1"/>
  <c r="M44" i="360"/>
  <c r="H44" i="360"/>
  <c r="F45" i="360"/>
  <c r="G44" i="360"/>
  <c r="K43" i="360"/>
  <c r="M43" i="360"/>
  <c r="M37" i="358"/>
  <c r="H37" i="358"/>
  <c r="F38" i="358"/>
  <c r="G38" i="358"/>
  <c r="J37" i="358"/>
  <c r="L37" i="358" s="1"/>
  <c r="K37" i="358"/>
  <c r="U35" i="358"/>
  <c r="L35" i="358"/>
  <c r="Z35" i="358"/>
  <c r="B27" i="348"/>
  <c r="E27" i="348"/>
  <c r="D24" i="347"/>
  <c r="C9" i="347"/>
  <c r="J27" i="348"/>
  <c r="D8" i="347"/>
  <c r="E23" i="347"/>
  <c r="G22" i="347"/>
  <c r="F23" i="347"/>
  <c r="C22" i="347"/>
  <c r="B7" i="347"/>
  <c r="B8" i="347" s="1"/>
  <c r="B9" i="347" s="1"/>
  <c r="B10" i="347" s="1"/>
  <c r="B11" i="347" s="1"/>
  <c r="B12" i="347" s="1"/>
  <c r="B13" i="347" s="1"/>
  <c r="C26" i="348"/>
  <c r="E22" i="347"/>
  <c r="D22" i="347"/>
  <c r="E26" i="348"/>
  <c r="G26" i="348" s="1"/>
  <c r="M26" i="348" s="1"/>
  <c r="I21" i="347"/>
  <c r="D23" i="347"/>
  <c r="G21" i="347"/>
  <c r="G25" i="348"/>
  <c r="M25" i="348" s="1"/>
  <c r="F24" i="337"/>
  <c r="K24" i="337"/>
  <c r="L24" i="337" s="1"/>
  <c r="B25" i="337"/>
  <c r="C25" i="337"/>
  <c r="D25" i="337"/>
  <c r="F25" i="337"/>
  <c r="G25" i="337"/>
  <c r="H25" i="337"/>
  <c r="H26" i="337" s="1"/>
  <c r="H27" i="337" s="1"/>
  <c r="H28" i="337" s="1"/>
  <c r="H29" i="337" s="1"/>
  <c r="I25" i="337"/>
  <c r="I26" i="337" s="1"/>
  <c r="I27" i="337" s="1"/>
  <c r="I28" i="337" s="1"/>
  <c r="I29" i="337" s="1"/>
  <c r="J25" i="337"/>
  <c r="K25" i="337"/>
  <c r="L25" i="337" s="1"/>
  <c r="B26" i="337"/>
  <c r="C26" i="337"/>
  <c r="D26" i="337"/>
  <c r="F26" i="337" s="1"/>
  <c r="K26" i="337" s="1"/>
  <c r="G26" i="337"/>
  <c r="B27" i="337"/>
  <c r="C27" i="337"/>
  <c r="D27" i="337"/>
  <c r="F27" i="337" s="1"/>
  <c r="G27" i="337"/>
  <c r="B28" i="337"/>
  <c r="B29" i="337" s="1"/>
  <c r="B30" i="337" s="1"/>
  <c r="B31" i="337" s="1"/>
  <c r="B32" i="337" s="1"/>
  <c r="B33" i="337" s="1"/>
  <c r="C28" i="337"/>
  <c r="D28" i="337"/>
  <c r="D29" i="337" s="1"/>
  <c r="G28" i="337"/>
  <c r="C29" i="337"/>
  <c r="C30" i="337" s="1"/>
  <c r="C31" i="337" s="1"/>
  <c r="C32" i="337" s="1"/>
  <c r="C33" i="337" s="1"/>
  <c r="G29" i="337"/>
  <c r="G30" i="337"/>
  <c r="H30" i="337"/>
  <c r="H31" i="337" s="1"/>
  <c r="H32" i="337" s="1"/>
  <c r="H33" i="337" s="1"/>
  <c r="I30" i="337"/>
  <c r="I31" i="337" s="1"/>
  <c r="I32" i="337" s="1"/>
  <c r="I33" i="337" s="1"/>
  <c r="G31" i="337"/>
  <c r="G32" i="337"/>
  <c r="G33" i="337"/>
  <c r="B66" i="336"/>
  <c r="B67" i="336" s="1"/>
  <c r="C66" i="336"/>
  <c r="D66" i="336"/>
  <c r="E66" i="336"/>
  <c r="F66" i="336"/>
  <c r="G66" i="336"/>
  <c r="H66" i="336"/>
  <c r="I66" i="336"/>
  <c r="K66" i="336"/>
  <c r="L66" i="336"/>
  <c r="N66" i="336"/>
  <c r="D67" i="336"/>
  <c r="K67" i="336" s="1"/>
  <c r="E67" i="336"/>
  <c r="F67" i="336"/>
  <c r="G67" i="336"/>
  <c r="G68" i="336" s="1"/>
  <c r="G69" i="336" s="1"/>
  <c r="H67" i="336"/>
  <c r="I67" i="336"/>
  <c r="I68" i="336" s="1"/>
  <c r="B68" i="336"/>
  <c r="B69" i="336" s="1"/>
  <c r="B70" i="336" s="1"/>
  <c r="B71" i="336" s="1"/>
  <c r="B72" i="336" s="1"/>
  <c r="B73" i="336" s="1"/>
  <c r="B74" i="336" s="1"/>
  <c r="B75" i="336" s="1"/>
  <c r="D68" i="336"/>
  <c r="E68" i="336"/>
  <c r="F68" i="336"/>
  <c r="D69" i="336"/>
  <c r="E69" i="336"/>
  <c r="F69" i="336"/>
  <c r="I69" i="336"/>
  <c r="I70" i="336" s="1"/>
  <c r="I71" i="336" s="1"/>
  <c r="I72" i="336" s="1"/>
  <c r="D70" i="336"/>
  <c r="E70" i="336"/>
  <c r="F70" i="336"/>
  <c r="G70" i="336"/>
  <c r="G71" i="336" s="1"/>
  <c r="G72" i="336" s="1"/>
  <c r="G73" i="336" s="1"/>
  <c r="G74" i="336" s="1"/>
  <c r="G75" i="336" s="1"/>
  <c r="D71" i="336"/>
  <c r="E71" i="336"/>
  <c r="F71" i="336"/>
  <c r="D72" i="336"/>
  <c r="E72" i="336"/>
  <c r="F72" i="336"/>
  <c r="D73" i="336"/>
  <c r="E73" i="336"/>
  <c r="F73" i="336"/>
  <c r="D74" i="336"/>
  <c r="E74" i="336"/>
  <c r="F74" i="336"/>
  <c r="E75" i="336"/>
  <c r="F75" i="336"/>
  <c r="C108" i="336"/>
  <c r="D108" i="336"/>
  <c r="E108" i="336"/>
  <c r="F108" i="336"/>
  <c r="J108" i="336" s="1"/>
  <c r="G108" i="336"/>
  <c r="G109" i="336" s="1"/>
  <c r="G110" i="336" s="1"/>
  <c r="G111" i="336" s="1"/>
  <c r="H108" i="336"/>
  <c r="L108" i="336"/>
  <c r="O108" i="336"/>
  <c r="B109" i="336"/>
  <c r="C109" i="336"/>
  <c r="D109" i="336"/>
  <c r="E109" i="336"/>
  <c r="F109" i="336"/>
  <c r="O109" i="336"/>
  <c r="B110" i="336"/>
  <c r="B111" i="336" s="1"/>
  <c r="B112" i="336" s="1"/>
  <c r="B113" i="336" s="1"/>
  <c r="C110" i="336"/>
  <c r="D110" i="336"/>
  <c r="E110" i="336"/>
  <c r="F110" i="336"/>
  <c r="O110" i="336"/>
  <c r="C111" i="336"/>
  <c r="D111" i="336"/>
  <c r="E111" i="336"/>
  <c r="F111" i="336"/>
  <c r="O111" i="336"/>
  <c r="C112" i="336"/>
  <c r="D112" i="336"/>
  <c r="E112" i="336"/>
  <c r="F112" i="336"/>
  <c r="O112" i="336"/>
  <c r="C113" i="336"/>
  <c r="D113" i="336"/>
  <c r="E113" i="336"/>
  <c r="F113" i="336"/>
  <c r="O113" i="336"/>
  <c r="B114" i="336"/>
  <c r="B115" i="336" s="1"/>
  <c r="B116" i="336" s="1"/>
  <c r="B117" i="336" s="1"/>
  <c r="C114" i="336"/>
  <c r="D114" i="336"/>
  <c r="E114" i="336"/>
  <c r="F114" i="336"/>
  <c r="O114" i="336"/>
  <c r="C115" i="336"/>
  <c r="D115" i="336"/>
  <c r="E115" i="336"/>
  <c r="F115" i="336"/>
  <c r="O115" i="336"/>
  <c r="C116" i="336"/>
  <c r="D116" i="336"/>
  <c r="E116" i="336"/>
  <c r="F116" i="336"/>
  <c r="O116" i="336"/>
  <c r="D117" i="336"/>
  <c r="E117" i="336"/>
  <c r="F117" i="336"/>
  <c r="O117" i="336"/>
  <c r="B132" i="336"/>
  <c r="B133" i="336" s="1"/>
  <c r="B134" i="336" s="1"/>
  <c r="C132" i="336"/>
  <c r="D132" i="336"/>
  <c r="E132" i="336"/>
  <c r="F132" i="336"/>
  <c r="F133" i="336" s="1"/>
  <c r="F134" i="336" s="1"/>
  <c r="F135" i="336" s="1"/>
  <c r="F136" i="336" s="1"/>
  <c r="F137" i="336" s="1"/>
  <c r="F138" i="336" s="1"/>
  <c r="F139" i="336" s="1"/>
  <c r="F140" i="336" s="1"/>
  <c r="F141" i="336" s="1"/>
  <c r="G132" i="336"/>
  <c r="H132" i="336"/>
  <c r="I132" i="336" s="1"/>
  <c r="J132" i="336"/>
  <c r="K132" i="336"/>
  <c r="O132" i="336"/>
  <c r="C133" i="336"/>
  <c r="C134" i="336" s="1"/>
  <c r="D133" i="336"/>
  <c r="E133" i="336"/>
  <c r="G133" i="336"/>
  <c r="J133" i="336" s="1"/>
  <c r="H133" i="336"/>
  <c r="H134" i="336" s="1"/>
  <c r="K133" i="336"/>
  <c r="K134" i="336" s="1"/>
  <c r="K135" i="336" s="1"/>
  <c r="O133" i="336"/>
  <c r="D134" i="336"/>
  <c r="E134" i="336"/>
  <c r="B135" i="336"/>
  <c r="B136" i="336" s="1"/>
  <c r="B137" i="336" s="1"/>
  <c r="B138" i="336" s="1"/>
  <c r="B139" i="336" s="1"/>
  <c r="B140" i="336" s="1"/>
  <c r="B141" i="336" s="1"/>
  <c r="C135" i="336"/>
  <c r="D135" i="336"/>
  <c r="E135" i="336"/>
  <c r="D136" i="336"/>
  <c r="E136" i="336"/>
  <c r="K136" i="336"/>
  <c r="K137" i="336" s="1"/>
  <c r="K138" i="336" s="1"/>
  <c r="K139" i="336" s="1"/>
  <c r="K140" i="336" s="1"/>
  <c r="K141" i="336" s="1"/>
  <c r="K142" i="336" s="1"/>
  <c r="D137" i="336"/>
  <c r="E137" i="336"/>
  <c r="D138" i="336"/>
  <c r="E138" i="336"/>
  <c r="D139" i="336"/>
  <c r="E139" i="336"/>
  <c r="D140" i="336"/>
  <c r="E140" i="336"/>
  <c r="D141" i="336"/>
  <c r="E141" i="336"/>
  <c r="M142" i="336"/>
  <c r="O142" i="336"/>
  <c r="G12" i="335"/>
  <c r="E13" i="335" s="1"/>
  <c r="H12" i="335"/>
  <c r="J12" i="335"/>
  <c r="J13" i="335"/>
  <c r="L13" i="335"/>
  <c r="J14" i="335"/>
  <c r="L14" i="335"/>
  <c r="J15" i="335"/>
  <c r="J16" i="335"/>
  <c r="J17" i="335"/>
  <c r="J18" i="335"/>
  <c r="J19" i="335"/>
  <c r="J20" i="335"/>
  <c r="J21" i="335"/>
  <c r="H67" i="335"/>
  <c r="G7" i="334"/>
  <c r="K7" i="334" s="1"/>
  <c r="I8" i="334"/>
  <c r="I9" i="334"/>
  <c r="I10" i="334"/>
  <c r="I11" i="334"/>
  <c r="I12" i="334"/>
  <c r="I13" i="334"/>
  <c r="I14" i="334"/>
  <c r="I15" i="334"/>
  <c r="I16" i="334"/>
  <c r="I17" i="334"/>
  <c r="I18" i="334"/>
  <c r="I19" i="334"/>
  <c r="I20" i="334"/>
  <c r="I21" i="334"/>
  <c r="I22" i="334"/>
  <c r="I23" i="334"/>
  <c r="I24" i="334"/>
  <c r="I25" i="334"/>
  <c r="I26" i="334"/>
  <c r="I27" i="334"/>
  <c r="I28" i="334"/>
  <c r="I29" i="334"/>
  <c r="I30" i="334"/>
  <c r="I31" i="334"/>
  <c r="I32" i="334"/>
  <c r="I33" i="334"/>
  <c r="I34" i="334"/>
  <c r="I35" i="334"/>
  <c r="G5" i="333"/>
  <c r="E6" i="333" s="1"/>
  <c r="E7" i="333" s="1"/>
  <c r="H5" i="333"/>
  <c r="J5" i="333"/>
  <c r="G6" i="333"/>
  <c r="J6" i="333"/>
  <c r="L6" i="333"/>
  <c r="J7" i="333"/>
  <c r="L7" i="333"/>
  <c r="L8" i="333" s="1"/>
  <c r="L9" i="333" s="1"/>
  <c r="L10" i="333" s="1"/>
  <c r="L11" i="333" s="1"/>
  <c r="L12" i="333" s="1"/>
  <c r="L13" i="333" s="1"/>
  <c r="L14" i="333" s="1"/>
  <c r="L15" i="333" s="1"/>
  <c r="L16" i="333" s="1"/>
  <c r="L17" i="333" s="1"/>
  <c r="L18" i="333" s="1"/>
  <c r="L19" i="333" s="1"/>
  <c r="L20" i="333" s="1"/>
  <c r="L21" i="333" s="1"/>
  <c r="L22" i="333" s="1"/>
  <c r="L23" i="333" s="1"/>
  <c r="L24" i="333" s="1"/>
  <c r="L25" i="333" s="1"/>
  <c r="L26" i="333" s="1"/>
  <c r="L27" i="333" s="1"/>
  <c r="L28" i="333" s="1"/>
  <c r="L29" i="333" s="1"/>
  <c r="L30" i="333" s="1"/>
  <c r="L31" i="333" s="1"/>
  <c r="L32" i="333" s="1"/>
  <c r="J8" i="333"/>
  <c r="J9" i="333"/>
  <c r="J10" i="333"/>
  <c r="J11" i="333"/>
  <c r="J12" i="333"/>
  <c r="J13" i="333"/>
  <c r="J14" i="333"/>
  <c r="H32" i="333"/>
  <c r="M32" i="333"/>
  <c r="L33" i="333"/>
  <c r="X23" i="360" l="1"/>
  <c r="Z23" i="360"/>
  <c r="G9" i="359"/>
  <c r="H11" i="359"/>
  <c r="J11" i="359"/>
  <c r="I11" i="359"/>
  <c r="T41" i="360"/>
  <c r="X41" i="360" s="1"/>
  <c r="G45" i="360"/>
  <c r="K44" i="360"/>
  <c r="J44" i="360"/>
  <c r="L44" i="360" s="1"/>
  <c r="G27" i="360"/>
  <c r="J26" i="360"/>
  <c r="L26" i="360" s="1"/>
  <c r="K26" i="360"/>
  <c r="H26" i="360"/>
  <c r="F27" i="360"/>
  <c r="M26" i="360"/>
  <c r="J43" i="360"/>
  <c r="L43" i="360" s="1"/>
  <c r="M45" i="360"/>
  <c r="H45" i="360"/>
  <c r="F46" i="360"/>
  <c r="H38" i="358"/>
  <c r="F39" i="358"/>
  <c r="M38" i="358"/>
  <c r="T35" i="358"/>
  <c r="X35" i="358" s="1"/>
  <c r="K38" i="358"/>
  <c r="G39" i="358"/>
  <c r="F24" i="347"/>
  <c r="G23" i="347"/>
  <c r="H22" i="347"/>
  <c r="I22" i="347"/>
  <c r="C25" i="347"/>
  <c r="D25" i="347"/>
  <c r="C10" i="347"/>
  <c r="C24" i="347"/>
  <c r="F26" i="348"/>
  <c r="H23" i="347"/>
  <c r="I23" i="347"/>
  <c r="C23" i="347"/>
  <c r="C27" i="348"/>
  <c r="D27" i="348" s="1"/>
  <c r="D26" i="348"/>
  <c r="E24" i="347"/>
  <c r="D9" i="347"/>
  <c r="J29" i="337"/>
  <c r="D30" i="337"/>
  <c r="F29" i="337"/>
  <c r="K29" i="337" s="1"/>
  <c r="H135" i="336"/>
  <c r="H6" i="333"/>
  <c r="G7" i="333"/>
  <c r="E8" i="333" s="1"/>
  <c r="I73" i="336"/>
  <c r="I74" i="336" s="1"/>
  <c r="I75" i="336" s="1"/>
  <c r="G112" i="336"/>
  <c r="I111" i="336"/>
  <c r="J111" i="336"/>
  <c r="K8" i="334"/>
  <c r="J8" i="334"/>
  <c r="L15" i="335"/>
  <c r="K109" i="336"/>
  <c r="K27" i="337"/>
  <c r="G134" i="336"/>
  <c r="G135" i="336" s="1"/>
  <c r="G136" i="336" s="1"/>
  <c r="I110" i="336"/>
  <c r="C136" i="336"/>
  <c r="O136" i="336"/>
  <c r="I135" i="336"/>
  <c r="I134" i="336"/>
  <c r="L67" i="336"/>
  <c r="N67" i="336" s="1"/>
  <c r="H68" i="336"/>
  <c r="H69" i="336" s="1"/>
  <c r="O135" i="336"/>
  <c r="J134" i="336"/>
  <c r="I108" i="336"/>
  <c r="J26" i="337"/>
  <c r="L26" i="337" s="1"/>
  <c r="I109" i="336"/>
  <c r="G13" i="335"/>
  <c r="E14" i="335" s="1"/>
  <c r="K108" i="336"/>
  <c r="H109" i="336"/>
  <c r="H110" i="336" s="1"/>
  <c r="H111" i="336" s="1"/>
  <c r="C67" i="336"/>
  <c r="J66" i="336"/>
  <c r="M66" i="336" s="1"/>
  <c r="F28" i="337"/>
  <c r="K28" i="337" s="1"/>
  <c r="J28" i="337"/>
  <c r="J135" i="336"/>
  <c r="I133" i="336"/>
  <c r="O134" i="336"/>
  <c r="J27" i="337"/>
  <c r="J110" i="336"/>
  <c r="G12" i="319"/>
  <c r="F12" i="319"/>
  <c r="E12" i="319"/>
  <c r="G11" i="319"/>
  <c r="F11" i="319"/>
  <c r="E11" i="319"/>
  <c r="D11" i="319"/>
  <c r="D12" i="319" s="1"/>
  <c r="C11" i="319"/>
  <c r="C12" i="319" s="1"/>
  <c r="C13" i="319" s="1"/>
  <c r="C14" i="319" s="1"/>
  <c r="L10" i="319"/>
  <c r="L11" i="319" s="1"/>
  <c r="L12" i="319" s="1"/>
  <c r="K10" i="319"/>
  <c r="K11" i="319" s="1"/>
  <c r="K12" i="319" s="1"/>
  <c r="J10" i="319"/>
  <c r="J11" i="319" s="1"/>
  <c r="J12" i="319" s="1"/>
  <c r="I10" i="319"/>
  <c r="I11" i="319" s="1"/>
  <c r="I12" i="319" s="1"/>
  <c r="H10" i="319"/>
  <c r="H11" i="319" s="1"/>
  <c r="H12" i="319" s="1"/>
  <c r="G10" i="319"/>
  <c r="F10" i="319"/>
  <c r="E10" i="319"/>
  <c r="D10" i="319"/>
  <c r="C10" i="319"/>
  <c r="L9" i="319"/>
  <c r="K9" i="319"/>
  <c r="J9" i="319"/>
  <c r="I9" i="319"/>
  <c r="H9" i="319"/>
  <c r="G9" i="319"/>
  <c r="F9" i="319"/>
  <c r="E9" i="319"/>
  <c r="D9" i="319"/>
  <c r="C9" i="319"/>
  <c r="B9" i="319"/>
  <c r="E75" i="318"/>
  <c r="E74" i="318"/>
  <c r="K64" i="318"/>
  <c r="K65" i="318" s="1"/>
  <c r="K66" i="318" s="1"/>
  <c r="K67" i="318" s="1"/>
  <c r="K68" i="318" s="1"/>
  <c r="K69" i="318" s="1"/>
  <c r="K70" i="318" s="1"/>
  <c r="K71" i="318" s="1"/>
  <c r="P63" i="318"/>
  <c r="K63" i="318"/>
  <c r="G63" i="318"/>
  <c r="B63" i="318"/>
  <c r="B64" i="318" s="1"/>
  <c r="B65" i="318" s="1"/>
  <c r="B66" i="318" s="1"/>
  <c r="B67" i="318" s="1"/>
  <c r="B68" i="318" s="1"/>
  <c r="B69" i="318" s="1"/>
  <c r="B70" i="318" s="1"/>
  <c r="B71" i="318" s="1"/>
  <c r="P62" i="318"/>
  <c r="G62" i="318"/>
  <c r="E51" i="318"/>
  <c r="L42" i="318"/>
  <c r="L43" i="318" s="1"/>
  <c r="L44" i="318" s="1"/>
  <c r="L45" i="318" s="1"/>
  <c r="L46" i="318" s="1"/>
  <c r="L47" i="318" s="1"/>
  <c r="L48" i="318" s="1"/>
  <c r="L49" i="318" s="1"/>
  <c r="F42" i="318"/>
  <c r="D42" i="318"/>
  <c r="O41" i="318"/>
  <c r="L41" i="318"/>
  <c r="F41" i="318"/>
  <c r="E41" i="318"/>
  <c r="G41" i="318" s="1"/>
  <c r="C41" i="318"/>
  <c r="C42" i="318" s="1"/>
  <c r="C43" i="318" s="1"/>
  <c r="C44" i="318" s="1"/>
  <c r="C45" i="318" s="1"/>
  <c r="C46" i="318" s="1"/>
  <c r="C47" i="318" s="1"/>
  <c r="C48" i="318" s="1"/>
  <c r="C49" i="318" s="1"/>
  <c r="O40" i="318"/>
  <c r="M40" i="318"/>
  <c r="F40" i="318"/>
  <c r="G40" i="318" s="1"/>
  <c r="E40" i="318"/>
  <c r="D40" i="318"/>
  <c r="O33" i="318"/>
  <c r="L33" i="318"/>
  <c r="G33" i="318"/>
  <c r="D33" i="318"/>
  <c r="O32" i="318"/>
  <c r="L32" i="318"/>
  <c r="G32" i="318"/>
  <c r="D32" i="318"/>
  <c r="O31" i="318"/>
  <c r="L31" i="318"/>
  <c r="G31" i="318"/>
  <c r="D31" i="318"/>
  <c r="O30" i="318"/>
  <c r="L30" i="318"/>
  <c r="G30" i="318"/>
  <c r="D30" i="318"/>
  <c r="O29" i="318"/>
  <c r="L29" i="318"/>
  <c r="G29" i="318"/>
  <c r="D29" i="318"/>
  <c r="O28" i="318"/>
  <c r="L28" i="318"/>
  <c r="G28" i="318"/>
  <c r="D28" i="318"/>
  <c r="O27" i="318"/>
  <c r="L27" i="318"/>
  <c r="G27" i="318"/>
  <c r="D27" i="318"/>
  <c r="O26" i="318"/>
  <c r="M64" i="318" s="1"/>
  <c r="L26" i="318"/>
  <c r="D64" i="318" s="1"/>
  <c r="G26" i="318"/>
  <c r="M42" i="318" s="1"/>
  <c r="D26" i="318"/>
  <c r="O25" i="318"/>
  <c r="L25" i="318"/>
  <c r="G25" i="318"/>
  <c r="M41" i="318" s="1"/>
  <c r="F25" i="318"/>
  <c r="N41" i="318" s="1"/>
  <c r="P41" i="318" s="1"/>
  <c r="D25" i="318"/>
  <c r="D41" i="318" s="1"/>
  <c r="C25" i="318"/>
  <c r="C26" i="318" s="1"/>
  <c r="K24" i="318"/>
  <c r="N24" i="318" s="1"/>
  <c r="F24" i="318"/>
  <c r="N40" i="318" s="1"/>
  <c r="P40" i="318" s="1"/>
  <c r="F16" i="318"/>
  <c r="F15" i="318"/>
  <c r="F14" i="318"/>
  <c r="F13" i="318"/>
  <c r="F12" i="318"/>
  <c r="F11" i="318"/>
  <c r="F10" i="318"/>
  <c r="F9" i="318"/>
  <c r="O64" i="318" s="1"/>
  <c r="C8" i="318"/>
  <c r="O42" i="318" s="1"/>
  <c r="H27" i="360" l="1"/>
  <c r="F28" i="360"/>
  <c r="M27" i="360"/>
  <c r="H46" i="360"/>
  <c r="F47" i="360"/>
  <c r="M46" i="360"/>
  <c r="J27" i="360"/>
  <c r="L27" i="360" s="1"/>
  <c r="G28" i="360"/>
  <c r="K27" i="360"/>
  <c r="H10" i="359"/>
  <c r="I10" i="359" s="1"/>
  <c r="G8" i="359"/>
  <c r="J10" i="359"/>
  <c r="G46" i="360"/>
  <c r="K45" i="360"/>
  <c r="G40" i="358"/>
  <c r="J39" i="358"/>
  <c r="L39" i="358" s="1"/>
  <c r="K39" i="358"/>
  <c r="M39" i="358"/>
  <c r="H39" i="358"/>
  <c r="F40" i="358"/>
  <c r="J38" i="358"/>
  <c r="L38" i="358" s="1"/>
  <c r="G27" i="348"/>
  <c r="M27" i="348" s="1"/>
  <c r="M29" i="348" s="1"/>
  <c r="F27" i="348"/>
  <c r="H27" i="348" s="1"/>
  <c r="N27" i="348" s="1"/>
  <c r="N29" i="348" s="1"/>
  <c r="H24" i="347"/>
  <c r="I24" i="347"/>
  <c r="F25" i="347"/>
  <c r="G24" i="347"/>
  <c r="D10" i="347"/>
  <c r="E25" i="347"/>
  <c r="C26" i="347"/>
  <c r="D26" i="347"/>
  <c r="C11" i="347"/>
  <c r="H7" i="333"/>
  <c r="G8" i="333"/>
  <c r="E9" i="333"/>
  <c r="E15" i="335"/>
  <c r="H13" i="335"/>
  <c r="G14" i="335"/>
  <c r="J30" i="337"/>
  <c r="D31" i="337"/>
  <c r="F30" i="337"/>
  <c r="K30" i="337" s="1"/>
  <c r="L30" i="337" s="1"/>
  <c r="C137" i="336"/>
  <c r="O137" i="336"/>
  <c r="G137" i="336"/>
  <c r="J109" i="336"/>
  <c r="C68" i="336"/>
  <c r="J67" i="336"/>
  <c r="M67" i="336" s="1"/>
  <c r="H112" i="336"/>
  <c r="K111" i="336"/>
  <c r="H70" i="336"/>
  <c r="K69" i="336"/>
  <c r="L69" i="336"/>
  <c r="N69" i="336" s="1"/>
  <c r="L68" i="336"/>
  <c r="N68" i="336" s="1"/>
  <c r="K68" i="336"/>
  <c r="J9" i="334"/>
  <c r="K9" i="334" s="1"/>
  <c r="H136" i="336"/>
  <c r="I136" i="336" s="1"/>
  <c r="L28" i="337"/>
  <c r="K110" i="336"/>
  <c r="L27" i="337"/>
  <c r="L29" i="337"/>
  <c r="G113" i="336"/>
  <c r="I112" i="336"/>
  <c r="L16" i="335"/>
  <c r="D13" i="319"/>
  <c r="D14" i="319" s="1"/>
  <c r="D43" i="318"/>
  <c r="C27" i="318"/>
  <c r="E42" i="318"/>
  <c r="G42" i="318" s="1"/>
  <c r="F26" i="318"/>
  <c r="E13" i="319"/>
  <c r="E14" i="319" s="1"/>
  <c r="K25" i="318"/>
  <c r="N25" i="318" s="1"/>
  <c r="C9" i="318"/>
  <c r="F64" i="318"/>
  <c r="H28" i="360" l="1"/>
  <c r="F29" i="360"/>
  <c r="M28" i="360"/>
  <c r="H9" i="359"/>
  <c r="J9" i="359"/>
  <c r="I9" i="359"/>
  <c r="F48" i="360"/>
  <c r="G47" i="360"/>
  <c r="K46" i="360"/>
  <c r="J45" i="360"/>
  <c r="L45" i="360" s="1"/>
  <c r="K28" i="360"/>
  <c r="G29" i="360"/>
  <c r="G41" i="358"/>
  <c r="J40" i="358" s="1"/>
  <c r="L40" i="358" s="1"/>
  <c r="K40" i="358"/>
  <c r="H40" i="358"/>
  <c r="F41" i="358"/>
  <c r="M40" i="358"/>
  <c r="B32" i="348"/>
  <c r="D11" i="347"/>
  <c r="E26" i="347"/>
  <c r="H25" i="347"/>
  <c r="I25" i="347"/>
  <c r="G25" i="347"/>
  <c r="F26" i="347"/>
  <c r="C27" i="347"/>
  <c r="C12" i="347"/>
  <c r="D27" i="347"/>
  <c r="J10" i="334"/>
  <c r="K10" i="334"/>
  <c r="G15" i="335"/>
  <c r="E16" i="335" s="1"/>
  <c r="H14" i="335"/>
  <c r="H8" i="333"/>
  <c r="G9" i="333"/>
  <c r="E10" i="333" s="1"/>
  <c r="K112" i="336"/>
  <c r="H113" i="336"/>
  <c r="J113" i="336" s="1"/>
  <c r="C69" i="336"/>
  <c r="J68" i="336"/>
  <c r="M68" i="336" s="1"/>
  <c r="H71" i="336"/>
  <c r="K70" i="336"/>
  <c r="L70" i="336"/>
  <c r="N70" i="336" s="1"/>
  <c r="L17" i="335"/>
  <c r="J112" i="336"/>
  <c r="J136" i="336"/>
  <c r="G138" i="336"/>
  <c r="G114" i="336"/>
  <c r="I113" i="336"/>
  <c r="C138" i="336"/>
  <c r="O138" i="336"/>
  <c r="H137" i="336"/>
  <c r="D32" i="337"/>
  <c r="F31" i="337"/>
  <c r="K31" i="337" s="1"/>
  <c r="J31" i="337"/>
  <c r="K26" i="318"/>
  <c r="N42" i="318"/>
  <c r="P42" i="318" s="1"/>
  <c r="F27" i="318"/>
  <c r="K27" i="318" s="1"/>
  <c r="N27" i="318" s="1"/>
  <c r="C28" i="318"/>
  <c r="F13" i="319"/>
  <c r="N43" i="318"/>
  <c r="P43" i="318" s="1"/>
  <c r="C10" i="318"/>
  <c r="F43" i="318"/>
  <c r="G9" i="318"/>
  <c r="E43" i="318"/>
  <c r="G43" i="318" s="1"/>
  <c r="M43" i="318"/>
  <c r="O43" i="318"/>
  <c r="H29" i="360" l="1"/>
  <c r="F30" i="360"/>
  <c r="M29" i="360"/>
  <c r="G48" i="360"/>
  <c r="K47" i="360"/>
  <c r="M47" i="360"/>
  <c r="J46" i="360"/>
  <c r="L46" i="360" s="1"/>
  <c r="G30" i="360"/>
  <c r="J29" i="360"/>
  <c r="L29" i="360" s="1"/>
  <c r="K29" i="360"/>
  <c r="H47" i="360"/>
  <c r="M48" i="360"/>
  <c r="H48" i="360"/>
  <c r="F49" i="360"/>
  <c r="J28" i="360"/>
  <c r="L28" i="360" s="1"/>
  <c r="K41" i="358"/>
  <c r="G42" i="358"/>
  <c r="M41" i="358"/>
  <c r="H41" i="358"/>
  <c r="F42" i="358"/>
  <c r="F27" i="347"/>
  <c r="G26" i="347"/>
  <c r="E27" i="347"/>
  <c r="D12" i="347"/>
  <c r="C13" i="347"/>
  <c r="C28" i="347"/>
  <c r="D28" i="347"/>
  <c r="H26" i="347"/>
  <c r="I26" i="347"/>
  <c r="H9" i="333"/>
  <c r="G10" i="333"/>
  <c r="E11" i="333"/>
  <c r="E17" i="335"/>
  <c r="H15" i="335"/>
  <c r="G16" i="335"/>
  <c r="J11" i="334"/>
  <c r="K11" i="334" s="1"/>
  <c r="D33" i="337"/>
  <c r="F32" i="337"/>
  <c r="K32" i="337" s="1"/>
  <c r="J32" i="337"/>
  <c r="H138" i="336"/>
  <c r="C139" i="336"/>
  <c r="O139" i="336"/>
  <c r="L18" i="335"/>
  <c r="G115" i="336"/>
  <c r="J114" i="336"/>
  <c r="I114" i="336"/>
  <c r="J137" i="336"/>
  <c r="L31" i="337"/>
  <c r="G139" i="336"/>
  <c r="H72" i="336"/>
  <c r="K71" i="336"/>
  <c r="L71" i="336"/>
  <c r="N71" i="336" s="1"/>
  <c r="J69" i="336"/>
  <c r="M69" i="336" s="1"/>
  <c r="C70" i="336"/>
  <c r="I137" i="336"/>
  <c r="H114" i="336"/>
  <c r="K113" i="336"/>
  <c r="O65" i="318"/>
  <c r="F65" i="318"/>
  <c r="N65" i="318"/>
  <c r="E65" i="318"/>
  <c r="G65" i="318" s="1"/>
  <c r="M65" i="318"/>
  <c r="D65" i="318"/>
  <c r="C11" i="318"/>
  <c r="G10" i="318"/>
  <c r="N44" i="318"/>
  <c r="F44" i="318"/>
  <c r="O44" i="318"/>
  <c r="E44" i="318"/>
  <c r="G44" i="318" s="1"/>
  <c r="D44" i="318"/>
  <c r="M44" i="318"/>
  <c r="G13" i="319"/>
  <c r="F14" i="319"/>
  <c r="F28" i="318"/>
  <c r="K28" i="318" s="1"/>
  <c r="N28" i="318" s="1"/>
  <c r="C29" i="318"/>
  <c r="N26" i="318"/>
  <c r="N64" i="318" s="1"/>
  <c r="P64" i="318" s="1"/>
  <c r="E64" i="318"/>
  <c r="G64" i="318" s="1"/>
  <c r="G49" i="360" l="1"/>
  <c r="J48" i="360"/>
  <c r="L48" i="360" s="1"/>
  <c r="K48" i="360"/>
  <c r="J47" i="360"/>
  <c r="L47" i="360" s="1"/>
  <c r="H30" i="360"/>
  <c r="F31" i="360"/>
  <c r="M30" i="360"/>
  <c r="G31" i="360"/>
  <c r="J30" i="360"/>
  <c r="L30" i="360" s="1"/>
  <c r="K30" i="360"/>
  <c r="M49" i="360"/>
  <c r="F50" i="360"/>
  <c r="G43" i="358"/>
  <c r="J42" i="358" s="1"/>
  <c r="L42" i="358" s="1"/>
  <c r="K42" i="358"/>
  <c r="J41" i="358"/>
  <c r="L41" i="358" s="1"/>
  <c r="H42" i="358"/>
  <c r="F43" i="358"/>
  <c r="M42" i="358"/>
  <c r="H27" i="347"/>
  <c r="I27" i="347"/>
  <c r="F28" i="347"/>
  <c r="G27" i="347"/>
  <c r="C29" i="347"/>
  <c r="D29" i="347"/>
  <c r="D13" i="347"/>
  <c r="E29" i="347" s="1"/>
  <c r="E28" i="347"/>
  <c r="J12" i="334"/>
  <c r="K12" i="334" s="1"/>
  <c r="H16" i="335"/>
  <c r="G17" i="335"/>
  <c r="E18" i="335" s="1"/>
  <c r="C71" i="336"/>
  <c r="J70" i="336"/>
  <c r="M70" i="336" s="1"/>
  <c r="H139" i="336"/>
  <c r="L19" i="335"/>
  <c r="L32" i="337"/>
  <c r="K72" i="336"/>
  <c r="H73" i="336"/>
  <c r="L72" i="336"/>
  <c r="N72" i="336" s="1"/>
  <c r="F33" i="337"/>
  <c r="K33" i="337" s="1"/>
  <c r="L33" i="337" s="1"/>
  <c r="C35" i="337" s="1"/>
  <c r="J33" i="337"/>
  <c r="J138" i="336"/>
  <c r="C140" i="336"/>
  <c r="O140" i="336"/>
  <c r="I139" i="336"/>
  <c r="G140" i="336"/>
  <c r="I138" i="336"/>
  <c r="H115" i="336"/>
  <c r="K114" i="336"/>
  <c r="G116" i="336"/>
  <c r="I115" i="336"/>
  <c r="J115" i="336"/>
  <c r="H10" i="333"/>
  <c r="G11" i="333"/>
  <c r="E12" i="333" s="1"/>
  <c r="F45" i="318"/>
  <c r="E45" i="318"/>
  <c r="G45" i="318" s="1"/>
  <c r="C12" i="318"/>
  <c r="D45" i="318"/>
  <c r="O45" i="318"/>
  <c r="G11" i="318"/>
  <c r="M45" i="318"/>
  <c r="P44" i="318"/>
  <c r="C30" i="318"/>
  <c r="F29" i="318"/>
  <c r="K29" i="318" s="1"/>
  <c r="N29" i="318" s="1"/>
  <c r="G14" i="319"/>
  <c r="H13" i="319"/>
  <c r="P65" i="318"/>
  <c r="O66" i="318"/>
  <c r="N66" i="318"/>
  <c r="M66" i="318"/>
  <c r="F66" i="318"/>
  <c r="E66" i="318"/>
  <c r="G66" i="318" s="1"/>
  <c r="D66" i="318"/>
  <c r="H31" i="360" l="1"/>
  <c r="F32" i="360"/>
  <c r="M31" i="360"/>
  <c r="G32" i="360"/>
  <c r="J31" i="360"/>
  <c r="L31" i="360" s="1"/>
  <c r="K31" i="360"/>
  <c r="G50" i="360"/>
  <c r="K49" i="360"/>
  <c r="H49" i="360"/>
  <c r="H50" i="360"/>
  <c r="I50" i="360"/>
  <c r="O50" i="360" s="1"/>
  <c r="M50" i="360"/>
  <c r="M43" i="358"/>
  <c r="H43" i="358"/>
  <c r="F44" i="358"/>
  <c r="G44" i="358"/>
  <c r="J43" i="358"/>
  <c r="L43" i="358" s="1"/>
  <c r="K43" i="358"/>
  <c r="H28" i="347"/>
  <c r="I28" i="347"/>
  <c r="G28" i="347"/>
  <c r="F29" i="347"/>
  <c r="H17" i="335"/>
  <c r="G18" i="335"/>
  <c r="E19" i="335" s="1"/>
  <c r="G12" i="333"/>
  <c r="E13" i="333" s="1"/>
  <c r="H11" i="333"/>
  <c r="J13" i="334"/>
  <c r="K13" i="334" s="1"/>
  <c r="G117" i="336"/>
  <c r="I116" i="336"/>
  <c r="O141" i="336"/>
  <c r="I140" i="336"/>
  <c r="H140" i="336"/>
  <c r="G141" i="336"/>
  <c r="J140" i="336"/>
  <c r="L20" i="335"/>
  <c r="H116" i="336"/>
  <c r="K115" i="336"/>
  <c r="L73" i="336"/>
  <c r="N73" i="336" s="1"/>
  <c r="H74" i="336"/>
  <c r="K73" i="336"/>
  <c r="C72" i="336"/>
  <c r="J71" i="336"/>
  <c r="M71" i="336" s="1"/>
  <c r="J139" i="336"/>
  <c r="E46" i="318"/>
  <c r="D46" i="318"/>
  <c r="F46" i="318"/>
  <c r="O46" i="318"/>
  <c r="N46" i="318"/>
  <c r="P46" i="318" s="1"/>
  <c r="C13" i="318"/>
  <c r="G12" i="318"/>
  <c r="M46" i="318"/>
  <c r="F30" i="318"/>
  <c r="K30" i="318" s="1"/>
  <c r="N30" i="318" s="1"/>
  <c r="C31" i="318"/>
  <c r="H14" i="319"/>
  <c r="I13" i="319"/>
  <c r="N67" i="318"/>
  <c r="F67" i="318"/>
  <c r="O67" i="318"/>
  <c r="M67" i="318"/>
  <c r="D67" i="318"/>
  <c r="E67" i="318"/>
  <c r="G67" i="318" s="1"/>
  <c r="N45" i="318"/>
  <c r="P45" i="318" s="1"/>
  <c r="P66" i="318"/>
  <c r="I41" i="360" l="1"/>
  <c r="O41" i="360" s="1"/>
  <c r="AA41" i="360" s="1"/>
  <c r="I42" i="360"/>
  <c r="O42" i="360" s="1"/>
  <c r="I43" i="360"/>
  <c r="O43" i="360" s="1"/>
  <c r="M32" i="360"/>
  <c r="H32" i="360"/>
  <c r="I32" i="360"/>
  <c r="O32" i="360" s="1"/>
  <c r="G33" i="360"/>
  <c r="K32" i="360"/>
  <c r="J32" i="360"/>
  <c r="L32" i="360" s="1"/>
  <c r="K50" i="360"/>
  <c r="G51" i="360"/>
  <c r="J50" i="360" s="1"/>
  <c r="L50" i="360" s="1"/>
  <c r="I45" i="360"/>
  <c r="O45" i="360" s="1"/>
  <c r="I44" i="360"/>
  <c r="O44" i="360" s="1"/>
  <c r="I47" i="360"/>
  <c r="O47" i="360" s="1"/>
  <c r="I46" i="360"/>
  <c r="O46" i="360" s="1"/>
  <c r="I49" i="360"/>
  <c r="O49" i="360" s="1"/>
  <c r="I48" i="360"/>
  <c r="O48" i="360" s="1"/>
  <c r="J49" i="360"/>
  <c r="L49" i="360" s="1"/>
  <c r="H44" i="358"/>
  <c r="I44" i="358"/>
  <c r="O44" i="358" s="1"/>
  <c r="M44" i="358"/>
  <c r="K44" i="358"/>
  <c r="G45" i="358"/>
  <c r="J44" i="358" s="1"/>
  <c r="L44" i="358" s="1"/>
  <c r="I42" i="358"/>
  <c r="O42" i="358" s="1"/>
  <c r="I40" i="358"/>
  <c r="O40" i="358" s="1"/>
  <c r="H29" i="347"/>
  <c r="I29" i="347"/>
  <c r="J14" i="334"/>
  <c r="K14" i="334" s="1"/>
  <c r="H12" i="333"/>
  <c r="G13" i="333"/>
  <c r="E14" i="333" s="1"/>
  <c r="G19" i="335"/>
  <c r="E20" i="335" s="1"/>
  <c r="H18" i="335"/>
  <c r="J141" i="336"/>
  <c r="M138" i="336"/>
  <c r="M134" i="336"/>
  <c r="K116" i="336"/>
  <c r="H117" i="336"/>
  <c r="K117" i="336" s="1"/>
  <c r="K118" i="336" s="1"/>
  <c r="J72" i="336"/>
  <c r="M72" i="336" s="1"/>
  <c r="C73" i="336"/>
  <c r="L21" i="335"/>
  <c r="J116" i="336"/>
  <c r="H75" i="336"/>
  <c r="L75" i="336" s="1"/>
  <c r="N75" i="336" s="1"/>
  <c r="K74" i="336"/>
  <c r="L74" i="336"/>
  <c r="N74" i="336" s="1"/>
  <c r="I117" i="336"/>
  <c r="J117" i="336"/>
  <c r="M139" i="336"/>
  <c r="M140" i="336"/>
  <c r="H141" i="336"/>
  <c r="F68" i="318"/>
  <c r="D68" i="318"/>
  <c r="O68" i="318"/>
  <c r="N68" i="318"/>
  <c r="P68" i="318" s="1"/>
  <c r="M68" i="318"/>
  <c r="E68" i="318"/>
  <c r="G68" i="318" s="1"/>
  <c r="G46" i="318"/>
  <c r="I14" i="319"/>
  <c r="J13" i="319"/>
  <c r="G13" i="318"/>
  <c r="C14" i="318"/>
  <c r="F47" i="318"/>
  <c r="E47" i="318"/>
  <c r="G47" i="318" s="1"/>
  <c r="O47" i="318"/>
  <c r="D47" i="318"/>
  <c r="M47" i="318"/>
  <c r="P67" i="318"/>
  <c r="F31" i="318"/>
  <c r="K31" i="318" s="1"/>
  <c r="N31" i="318" s="1"/>
  <c r="C32" i="318"/>
  <c r="N42" i="360" l="1"/>
  <c r="N44" i="360"/>
  <c r="N43" i="360"/>
  <c r="N50" i="360"/>
  <c r="N24" i="360"/>
  <c r="N23" i="360"/>
  <c r="N29" i="360"/>
  <c r="N32" i="360"/>
  <c r="N26" i="360"/>
  <c r="N30" i="360"/>
  <c r="N31" i="360"/>
  <c r="AC41" i="360"/>
  <c r="AB41" i="360"/>
  <c r="I23" i="360"/>
  <c r="O23" i="360" s="1"/>
  <c r="I24" i="360"/>
  <c r="O24" i="360" s="1"/>
  <c r="I26" i="360"/>
  <c r="O26" i="360" s="1"/>
  <c r="I28" i="360"/>
  <c r="O28" i="360" s="1"/>
  <c r="I31" i="360"/>
  <c r="O31" i="360" s="1"/>
  <c r="I29" i="360"/>
  <c r="O29" i="360" s="1"/>
  <c r="N49" i="360"/>
  <c r="N46" i="360"/>
  <c r="N41" i="360"/>
  <c r="N47" i="360"/>
  <c r="N48" i="360"/>
  <c r="N45" i="360"/>
  <c r="N28" i="360"/>
  <c r="I30" i="360"/>
  <c r="O30" i="360" s="1"/>
  <c r="N25" i="360"/>
  <c r="I25" i="360"/>
  <c r="O25" i="360" s="1"/>
  <c r="I27" i="360"/>
  <c r="O27" i="360" s="1"/>
  <c r="N27" i="360"/>
  <c r="N36" i="358"/>
  <c r="N37" i="358"/>
  <c r="N38" i="358"/>
  <c r="N39" i="358"/>
  <c r="N42" i="358"/>
  <c r="N43" i="358"/>
  <c r="N35" i="358"/>
  <c r="N40" i="358"/>
  <c r="N44" i="358"/>
  <c r="N41" i="358"/>
  <c r="I36" i="358"/>
  <c r="O36" i="358" s="1"/>
  <c r="I38" i="358"/>
  <c r="O38" i="358" s="1"/>
  <c r="I39" i="358"/>
  <c r="O39" i="358" s="1"/>
  <c r="I41" i="358"/>
  <c r="O41" i="358" s="1"/>
  <c r="I43" i="358"/>
  <c r="O43" i="358" s="1"/>
  <c r="I37" i="358"/>
  <c r="O37" i="358" s="1"/>
  <c r="I35" i="358"/>
  <c r="O35" i="358" s="1"/>
  <c r="AA35" i="358" s="1"/>
  <c r="C34" i="347"/>
  <c r="E34" i="347"/>
  <c r="D34" i="347"/>
  <c r="D33" i="347"/>
  <c r="E33" i="347"/>
  <c r="C33" i="347"/>
  <c r="E21" i="335"/>
  <c r="H19" i="335"/>
  <c r="G20" i="335"/>
  <c r="H13" i="333"/>
  <c r="G14" i="333"/>
  <c r="E15" i="333" s="1"/>
  <c r="J15" i="334"/>
  <c r="K15" i="334"/>
  <c r="P74" i="336"/>
  <c r="P72" i="336"/>
  <c r="P67" i="336"/>
  <c r="P75" i="336"/>
  <c r="P69" i="336"/>
  <c r="M132" i="336"/>
  <c r="J142" i="336"/>
  <c r="M135" i="336"/>
  <c r="M137" i="336"/>
  <c r="M136" i="336"/>
  <c r="P71" i="336"/>
  <c r="N76" i="336"/>
  <c r="P70" i="336"/>
  <c r="P68" i="336"/>
  <c r="L22" i="335"/>
  <c r="J118" i="336"/>
  <c r="K119" i="336" s="1"/>
  <c r="C74" i="336"/>
  <c r="J73" i="336"/>
  <c r="M73" i="336" s="1"/>
  <c r="P66" i="336"/>
  <c r="M133" i="336"/>
  <c r="M141" i="336"/>
  <c r="I141" i="336"/>
  <c r="P73" i="336"/>
  <c r="O48" i="318"/>
  <c r="F48" i="318"/>
  <c r="E48" i="318"/>
  <c r="G48" i="318" s="1"/>
  <c r="D48" i="318"/>
  <c r="C15" i="318"/>
  <c r="G14" i="318"/>
  <c r="M48" i="318"/>
  <c r="F32" i="318"/>
  <c r="K32" i="318" s="1"/>
  <c r="N32" i="318" s="1"/>
  <c r="C33" i="318"/>
  <c r="F33" i="318" s="1"/>
  <c r="K33" i="318" s="1"/>
  <c r="N33" i="318" s="1"/>
  <c r="F69" i="318"/>
  <c r="D69" i="318"/>
  <c r="O69" i="318"/>
  <c r="N69" i="318"/>
  <c r="P69" i="318" s="1"/>
  <c r="E69" i="318"/>
  <c r="G69" i="318" s="1"/>
  <c r="M69" i="318"/>
  <c r="N47" i="318"/>
  <c r="P47" i="318" s="1"/>
  <c r="J14" i="319"/>
  <c r="K13" i="319"/>
  <c r="P23" i="360" l="1"/>
  <c r="Q23" i="360"/>
  <c r="P41" i="360"/>
  <c r="Q41" i="360"/>
  <c r="R23" i="360"/>
  <c r="R41" i="360"/>
  <c r="P35" i="358"/>
  <c r="Q35" i="358"/>
  <c r="AC35" i="358"/>
  <c r="AB35" i="358"/>
  <c r="R35" i="358"/>
  <c r="C35" i="347"/>
  <c r="D36" i="347" s="1"/>
  <c r="M108" i="336"/>
  <c r="M112" i="336"/>
  <c r="M116" i="336"/>
  <c r="M117" i="336"/>
  <c r="M109" i="336"/>
  <c r="M113" i="336"/>
  <c r="M110" i="336"/>
  <c r="M111" i="336"/>
  <c r="M114" i="336"/>
  <c r="M115" i="336"/>
  <c r="H14" i="333"/>
  <c r="G15" i="333"/>
  <c r="E16" i="333" s="1"/>
  <c r="J15" i="333"/>
  <c r="C75" i="336"/>
  <c r="J74" i="336"/>
  <c r="M74" i="336" s="1"/>
  <c r="H20" i="335"/>
  <c r="G21" i="335"/>
  <c r="E22" i="335" s="1"/>
  <c r="I142" i="336"/>
  <c r="J143" i="336" s="1"/>
  <c r="L132" i="336"/>
  <c r="J16" i="334"/>
  <c r="K16" i="334"/>
  <c r="L23" i="335"/>
  <c r="O49" i="318"/>
  <c r="C16" i="318"/>
  <c r="G16" i="318" s="1"/>
  <c r="F49" i="318"/>
  <c r="E49" i="318"/>
  <c r="G49" i="318" s="1"/>
  <c r="H40" i="318" s="1"/>
  <c r="G15" i="318"/>
  <c r="N49" i="318"/>
  <c r="P49" i="318" s="1"/>
  <c r="Q40" i="318" s="1"/>
  <c r="M49" i="318"/>
  <c r="R40" i="318" s="1"/>
  <c r="D49" i="318"/>
  <c r="I40" i="318" s="1"/>
  <c r="N48" i="318"/>
  <c r="P48" i="318" s="1"/>
  <c r="K14" i="319"/>
  <c r="L13" i="319"/>
  <c r="L14" i="319" s="1"/>
  <c r="B15" i="319" s="1"/>
  <c r="B16" i="319" s="1"/>
  <c r="F70" i="318"/>
  <c r="E70" i="318"/>
  <c r="G70" i="318" s="1"/>
  <c r="O70" i="318"/>
  <c r="M70" i="318"/>
  <c r="D70" i="318"/>
  <c r="N70" i="318"/>
  <c r="P70" i="318" s="1"/>
  <c r="U24" i="360" l="1"/>
  <c r="P24" i="360"/>
  <c r="S24" i="360"/>
  <c r="S30" i="360"/>
  <c r="S25" i="360"/>
  <c r="S31" i="360"/>
  <c r="S23" i="360"/>
  <c r="S29" i="360"/>
  <c r="S26" i="360"/>
  <c r="S32" i="360"/>
  <c r="S27" i="360"/>
  <c r="S28" i="360"/>
  <c r="U42" i="360"/>
  <c r="P42" i="360"/>
  <c r="S50" i="360"/>
  <c r="S43" i="360"/>
  <c r="S47" i="360"/>
  <c r="S44" i="360"/>
  <c r="S48" i="360"/>
  <c r="S42" i="360"/>
  <c r="S46" i="360"/>
  <c r="S41" i="360"/>
  <c r="S45" i="360"/>
  <c r="S49" i="360"/>
  <c r="P36" i="358"/>
  <c r="U36" i="358"/>
  <c r="S35" i="358"/>
  <c r="S41" i="358"/>
  <c r="S36" i="358"/>
  <c r="S37" i="358"/>
  <c r="S43" i="358"/>
  <c r="S38" i="358"/>
  <c r="S44" i="358"/>
  <c r="S42" i="358"/>
  <c r="S40" i="358"/>
  <c r="S39" i="358"/>
  <c r="E36" i="347"/>
  <c r="D37" i="347" s="1"/>
  <c r="H21" i="335"/>
  <c r="G22" i="335"/>
  <c r="E23" i="335" s="1"/>
  <c r="J22" i="335"/>
  <c r="H15" i="333"/>
  <c r="G16" i="333"/>
  <c r="E17" i="333" s="1"/>
  <c r="J16" i="333"/>
  <c r="J17" i="334"/>
  <c r="K17" i="334" s="1"/>
  <c r="L24" i="335"/>
  <c r="L133" i="336"/>
  <c r="N132" i="336"/>
  <c r="P132" i="336" s="1"/>
  <c r="N108" i="336"/>
  <c r="P108" i="336" s="1"/>
  <c r="L109" i="336" s="1"/>
  <c r="J75" i="336"/>
  <c r="D75" i="336"/>
  <c r="K75" i="336" s="1"/>
  <c r="E54" i="318"/>
  <c r="E55" i="318"/>
  <c r="O71" i="318"/>
  <c r="N71" i="318"/>
  <c r="P71" i="318" s="1"/>
  <c r="F71" i="318"/>
  <c r="E71" i="318"/>
  <c r="G71" i="318" s="1"/>
  <c r="M71" i="318"/>
  <c r="Q64" i="318" s="1"/>
  <c r="D71" i="318"/>
  <c r="P43" i="360" l="1"/>
  <c r="Q42" i="360"/>
  <c r="T42" i="360" s="1"/>
  <c r="X42" i="360" s="1"/>
  <c r="P25" i="360"/>
  <c r="Q24" i="360"/>
  <c r="T24" i="360" s="1"/>
  <c r="U43" i="360"/>
  <c r="AA42" i="360"/>
  <c r="Z42" i="360"/>
  <c r="U25" i="360"/>
  <c r="AA24" i="360"/>
  <c r="U37" i="358"/>
  <c r="AA36" i="358"/>
  <c r="Z36" i="358"/>
  <c r="P37" i="358"/>
  <c r="Q36" i="358"/>
  <c r="T36" i="358" s="1"/>
  <c r="X36" i="358" s="1"/>
  <c r="E18" i="333"/>
  <c r="H16" i="333"/>
  <c r="J17" i="333"/>
  <c r="G17" i="333"/>
  <c r="H22" i="335"/>
  <c r="G23" i="335"/>
  <c r="E24" i="335" s="1"/>
  <c r="J23" i="335"/>
  <c r="N109" i="336"/>
  <c r="P109" i="336" s="1"/>
  <c r="L110" i="336" s="1"/>
  <c r="J18" i="334"/>
  <c r="K18" i="334"/>
  <c r="M75" i="336"/>
  <c r="N133" i="336"/>
  <c r="P133" i="336" s="1"/>
  <c r="L134" i="336"/>
  <c r="L25" i="335"/>
  <c r="I64" i="318"/>
  <c r="H64" i="318"/>
  <c r="E79" i="318" s="1"/>
  <c r="H62" i="318"/>
  <c r="I62" i="318"/>
  <c r="R64" i="318"/>
  <c r="R62" i="318"/>
  <c r="Q62" i="318"/>
  <c r="E56" i="318"/>
  <c r="U26" i="360" l="1"/>
  <c r="AA25" i="360"/>
  <c r="Z24" i="360"/>
  <c r="AB24" i="360" s="1"/>
  <c r="AC24" i="360" s="1"/>
  <c r="X24" i="360"/>
  <c r="P26" i="360"/>
  <c r="Q25" i="360"/>
  <c r="T25" i="360" s="1"/>
  <c r="AC42" i="360"/>
  <c r="AB42" i="360"/>
  <c r="U44" i="360"/>
  <c r="AA43" i="360"/>
  <c r="Z43" i="360"/>
  <c r="P44" i="360"/>
  <c r="Q43" i="360"/>
  <c r="T43" i="360" s="1"/>
  <c r="X43" i="360" s="1"/>
  <c r="AC36" i="358"/>
  <c r="AB36" i="358"/>
  <c r="P38" i="358"/>
  <c r="Q37" i="358"/>
  <c r="T37" i="358" s="1"/>
  <c r="X37" i="358" s="1"/>
  <c r="AA37" i="358"/>
  <c r="U38" i="358"/>
  <c r="Z37" i="358"/>
  <c r="N110" i="336"/>
  <c r="P110" i="336" s="1"/>
  <c r="L111" i="336" s="1"/>
  <c r="H23" i="335"/>
  <c r="J24" i="335"/>
  <c r="G24" i="335"/>
  <c r="E25" i="335" s="1"/>
  <c r="N134" i="336"/>
  <c r="P134" i="336" s="1"/>
  <c r="L135" i="336"/>
  <c r="O75" i="336"/>
  <c r="M76" i="336"/>
  <c r="N77" i="336" s="1"/>
  <c r="N78" i="336" s="1"/>
  <c r="O66" i="336"/>
  <c r="O67" i="336"/>
  <c r="O68" i="336"/>
  <c r="O72" i="336"/>
  <c r="O73" i="336"/>
  <c r="O69" i="336"/>
  <c r="O70" i="336"/>
  <c r="O71" i="336"/>
  <c r="O74" i="336"/>
  <c r="G18" i="333"/>
  <c r="J18" i="333"/>
  <c r="E19" i="333"/>
  <c r="H17" i="333"/>
  <c r="K19" i="334"/>
  <c r="J19" i="334"/>
  <c r="L26" i="335"/>
  <c r="E78" i="318"/>
  <c r="E81" i="318" s="1"/>
  <c r="F78" i="318"/>
  <c r="F79" i="318"/>
  <c r="G56" i="309"/>
  <c r="G43" i="309"/>
  <c r="D22" i="309"/>
  <c r="G44" i="309" s="1"/>
  <c r="I45" i="309" s="1"/>
  <c r="G21" i="309"/>
  <c r="B21" i="309"/>
  <c r="B22" i="309" s="1"/>
  <c r="H20" i="309"/>
  <c r="G20" i="309"/>
  <c r="H5" i="309"/>
  <c r="G5" i="309"/>
  <c r="B5" i="309"/>
  <c r="B6" i="309" s="1"/>
  <c r="H4" i="309"/>
  <c r="G4" i="309"/>
  <c r="G79" i="308"/>
  <c r="D65" i="308"/>
  <c r="E64" i="308"/>
  <c r="D64" i="308"/>
  <c r="G64" i="308" s="1"/>
  <c r="C64" i="308"/>
  <c r="F63" i="308"/>
  <c r="D60" i="308"/>
  <c r="F59" i="308"/>
  <c r="D51" i="308"/>
  <c r="C51" i="308"/>
  <c r="D50" i="308"/>
  <c r="D49" i="308"/>
  <c r="C49" i="308"/>
  <c r="D48" i="308"/>
  <c r="D47" i="308"/>
  <c r="C47" i="308"/>
  <c r="D46" i="308"/>
  <c r="D45" i="308"/>
  <c r="I44" i="308"/>
  <c r="H44" i="308"/>
  <c r="J44" i="308" s="1"/>
  <c r="D44" i="308"/>
  <c r="F32" i="308"/>
  <c r="F66" i="308" s="1"/>
  <c r="D32" i="308"/>
  <c r="G32" i="308" s="1"/>
  <c r="C32" i="308"/>
  <c r="C66" i="308" s="1"/>
  <c r="G31" i="308"/>
  <c r="F31" i="308"/>
  <c r="F65" i="308" s="1"/>
  <c r="D31" i="308"/>
  <c r="C31" i="308"/>
  <c r="C50" i="308" s="1"/>
  <c r="G30" i="308"/>
  <c r="F30" i="308"/>
  <c r="F64" i="308" s="1"/>
  <c r="E30" i="308"/>
  <c r="D30" i="308"/>
  <c r="C30" i="308"/>
  <c r="F29" i="308"/>
  <c r="E29" i="308"/>
  <c r="E63" i="308" s="1"/>
  <c r="D29" i="308"/>
  <c r="D63" i="308" s="1"/>
  <c r="C29" i="308"/>
  <c r="C63" i="308" s="1"/>
  <c r="F28" i="308"/>
  <c r="F62" i="308" s="1"/>
  <c r="E28" i="308"/>
  <c r="E62" i="308" s="1"/>
  <c r="D28" i="308"/>
  <c r="C28" i="308"/>
  <c r="C62" i="308" s="1"/>
  <c r="F27" i="308"/>
  <c r="F61" i="308" s="1"/>
  <c r="D27" i="308"/>
  <c r="C27" i="308"/>
  <c r="F26" i="308"/>
  <c r="F60" i="308" s="1"/>
  <c r="D26" i="308"/>
  <c r="C26" i="308"/>
  <c r="F25" i="308"/>
  <c r="E25" i="308"/>
  <c r="E59" i="308" s="1"/>
  <c r="D25" i="308"/>
  <c r="C25" i="308"/>
  <c r="C59" i="308" s="1"/>
  <c r="F77" i="308" s="1"/>
  <c r="D22" i="308"/>
  <c r="E13" i="308"/>
  <c r="E32" i="308" s="1"/>
  <c r="E66" i="308" s="1"/>
  <c r="E12" i="308"/>
  <c r="E31" i="308" s="1"/>
  <c r="E65" i="308" s="1"/>
  <c r="E11" i="308"/>
  <c r="E10" i="308"/>
  <c r="E9" i="308"/>
  <c r="E8" i="308"/>
  <c r="E27" i="308" s="1"/>
  <c r="E61" i="308" s="1"/>
  <c r="E7" i="308"/>
  <c r="E26" i="308" s="1"/>
  <c r="E60" i="308" s="1"/>
  <c r="E6" i="308"/>
  <c r="AA44" i="360" l="1"/>
  <c r="U45" i="360"/>
  <c r="Z44" i="360"/>
  <c r="Z25" i="360"/>
  <c r="AB25" i="360" s="1"/>
  <c r="AC25" i="360" s="1"/>
  <c r="X25" i="360"/>
  <c r="AB43" i="360"/>
  <c r="AC43" i="360"/>
  <c r="U27" i="360"/>
  <c r="AA26" i="360"/>
  <c r="P27" i="360"/>
  <c r="Q26" i="360"/>
  <c r="T26" i="360" s="1"/>
  <c r="P45" i="360"/>
  <c r="Q44" i="360"/>
  <c r="T44" i="360" s="1"/>
  <c r="X44" i="360" s="1"/>
  <c r="AA38" i="358"/>
  <c r="U39" i="358"/>
  <c r="Z38" i="358"/>
  <c r="AB37" i="358"/>
  <c r="AC37" i="358"/>
  <c r="P39" i="358"/>
  <c r="Q38" i="358"/>
  <c r="T38" i="358" s="1"/>
  <c r="X38" i="358" s="1"/>
  <c r="G25" i="335"/>
  <c r="E26" i="335" s="1"/>
  <c r="J25" i="335"/>
  <c r="H24" i="335"/>
  <c r="N111" i="336"/>
  <c r="P111" i="336" s="1"/>
  <c r="L112" i="336" s="1"/>
  <c r="Q66" i="336"/>
  <c r="R66" i="336"/>
  <c r="E20" i="333"/>
  <c r="H18" i="333"/>
  <c r="G19" i="333"/>
  <c r="J19" i="333"/>
  <c r="Q75" i="336"/>
  <c r="R75" i="336"/>
  <c r="L27" i="335"/>
  <c r="N135" i="336"/>
  <c r="P135" i="336" s="1"/>
  <c r="L136" i="336"/>
  <c r="Q70" i="336"/>
  <c r="R70" i="336"/>
  <c r="Q72" i="336"/>
  <c r="R72" i="336"/>
  <c r="Q74" i="336"/>
  <c r="R74" i="336"/>
  <c r="Q71" i="336"/>
  <c r="R71" i="336"/>
  <c r="Q69" i="336"/>
  <c r="R69" i="336"/>
  <c r="Q73" i="336"/>
  <c r="R73" i="336"/>
  <c r="J20" i="334"/>
  <c r="K20" i="334"/>
  <c r="R68" i="336"/>
  <c r="Q68" i="336"/>
  <c r="Q67" i="336"/>
  <c r="R67" i="336"/>
  <c r="E82" i="318"/>
  <c r="E84" i="318" s="1"/>
  <c r="G26" i="308"/>
  <c r="G63" i="308"/>
  <c r="G22" i="309"/>
  <c r="B23" i="309"/>
  <c r="G27" i="308"/>
  <c r="D61" i="308"/>
  <c r="G61" i="308" s="1"/>
  <c r="C60" i="308"/>
  <c r="C45" i="308"/>
  <c r="I25" i="308"/>
  <c r="K50" i="308"/>
  <c r="K48" i="308"/>
  <c r="K46" i="308"/>
  <c r="K44" i="308"/>
  <c r="L44" i="308" s="1"/>
  <c r="K51" i="308"/>
  <c r="K49" i="308"/>
  <c r="K47" i="308"/>
  <c r="K45" i="308"/>
  <c r="G6" i="309"/>
  <c r="B7" i="309"/>
  <c r="H6" i="309"/>
  <c r="C46" i="308"/>
  <c r="C61" i="308"/>
  <c r="D59" i="308"/>
  <c r="G25" i="308"/>
  <c r="D62" i="308"/>
  <c r="G62" i="308" s="1"/>
  <c r="G28" i="308"/>
  <c r="G60" i="308"/>
  <c r="C65" i="308"/>
  <c r="G65" i="308" s="1"/>
  <c r="G29" i="308"/>
  <c r="C44" i="308"/>
  <c r="H39" i="309"/>
  <c r="H21" i="309"/>
  <c r="G61" i="309"/>
  <c r="D66" i="308"/>
  <c r="G66" i="308" s="1"/>
  <c r="H22" i="309"/>
  <c r="C48" i="308"/>
  <c r="D11" i="290"/>
  <c r="D13" i="290" s="1"/>
  <c r="D15" i="290" s="1"/>
  <c r="C11" i="290"/>
  <c r="C13" i="290" s="1"/>
  <c r="C15" i="290" s="1"/>
  <c r="P28" i="360" l="1"/>
  <c r="Q27" i="360"/>
  <c r="T27" i="360" s="1"/>
  <c r="U46" i="360"/>
  <c r="AA45" i="360"/>
  <c r="Z45" i="360"/>
  <c r="P46" i="360"/>
  <c r="Q45" i="360"/>
  <c r="T45" i="360" s="1"/>
  <c r="X45" i="360" s="1"/>
  <c r="AC44" i="360"/>
  <c r="AB44" i="360"/>
  <c r="U28" i="360"/>
  <c r="AA27" i="360"/>
  <c r="Z26" i="360"/>
  <c r="AB26" i="360" s="1"/>
  <c r="AC26" i="360" s="1"/>
  <c r="X26" i="360"/>
  <c r="U40" i="358"/>
  <c r="AA39" i="358"/>
  <c r="Z39" i="358"/>
  <c r="P40" i="358"/>
  <c r="Q39" i="358"/>
  <c r="T39" i="358" s="1"/>
  <c r="X39" i="358" s="1"/>
  <c r="AC38" i="358"/>
  <c r="AB38" i="358"/>
  <c r="N112" i="336"/>
  <c r="P112" i="336"/>
  <c r="L113" i="336" s="1"/>
  <c r="H25" i="335"/>
  <c r="G26" i="335"/>
  <c r="E27" i="335" s="1"/>
  <c r="J26" i="335"/>
  <c r="J20" i="333"/>
  <c r="H19" i="333"/>
  <c r="G20" i="333"/>
  <c r="E21" i="333" s="1"/>
  <c r="K21" i="334"/>
  <c r="J21" i="334"/>
  <c r="L28" i="335"/>
  <c r="L137" i="336"/>
  <c r="N136" i="336"/>
  <c r="P136" i="336" s="1"/>
  <c r="H23" i="309"/>
  <c r="G23" i="309"/>
  <c r="B24" i="309"/>
  <c r="G7" i="309"/>
  <c r="B8" i="309"/>
  <c r="H7" i="309"/>
  <c r="H25" i="308"/>
  <c r="J25" i="308" s="1"/>
  <c r="G78" i="308"/>
  <c r="G59" i="308"/>
  <c r="E85" i="308"/>
  <c r="L45" i="308"/>
  <c r="L46" i="308" s="1"/>
  <c r="L47" i="308" s="1"/>
  <c r="L48" i="308" s="1"/>
  <c r="L49" i="308" s="1"/>
  <c r="L50" i="308" s="1"/>
  <c r="L51" i="308" s="1"/>
  <c r="F84" i="308"/>
  <c r="AB45" i="360" l="1"/>
  <c r="AC45" i="360"/>
  <c r="P47" i="360"/>
  <c r="Q46" i="360"/>
  <c r="T46" i="360" s="1"/>
  <c r="X46" i="360" s="1"/>
  <c r="Z27" i="360"/>
  <c r="AB27" i="360" s="1"/>
  <c r="AC27" i="360" s="1"/>
  <c r="X27" i="360"/>
  <c r="P29" i="360"/>
  <c r="Q28" i="360"/>
  <c r="T28" i="360" s="1"/>
  <c r="U29" i="360"/>
  <c r="AA28" i="360"/>
  <c r="U47" i="360"/>
  <c r="AA46" i="360"/>
  <c r="Z46" i="360"/>
  <c r="P41" i="358"/>
  <c r="Q40" i="358"/>
  <c r="T40" i="358" s="1"/>
  <c r="X40" i="358" s="1"/>
  <c r="AB39" i="358"/>
  <c r="AC39" i="358"/>
  <c r="AA40" i="358"/>
  <c r="U41" i="358"/>
  <c r="Z40" i="358"/>
  <c r="H20" i="333"/>
  <c r="G21" i="333"/>
  <c r="E22" i="333" s="1"/>
  <c r="J21" i="333"/>
  <c r="E28" i="335"/>
  <c r="J27" i="335"/>
  <c r="G27" i="335"/>
  <c r="H26" i="335"/>
  <c r="L29" i="335"/>
  <c r="J22" i="334"/>
  <c r="K22" i="334"/>
  <c r="N113" i="336"/>
  <c r="P113" i="336" s="1"/>
  <c r="L114" i="336" s="1"/>
  <c r="N137" i="336"/>
  <c r="P137" i="336" s="1"/>
  <c r="L138" i="336"/>
  <c r="K25" i="308"/>
  <c r="L25" i="308" s="1"/>
  <c r="K28" i="308"/>
  <c r="K26" i="308"/>
  <c r="K27" i="308"/>
  <c r="K29" i="308"/>
  <c r="K30" i="308"/>
  <c r="K31" i="308"/>
  <c r="K32" i="308"/>
  <c r="H24" i="309"/>
  <c r="H26" i="309" s="1"/>
  <c r="G27" i="309" s="1"/>
  <c r="G24" i="309"/>
  <c r="G26" i="309" s="1"/>
  <c r="G8" i="309"/>
  <c r="G10" i="309" s="1"/>
  <c r="H8" i="309"/>
  <c r="H10" i="309" s="1"/>
  <c r="G11" i="309" s="1"/>
  <c r="D76" i="308"/>
  <c r="K59" i="308"/>
  <c r="AA47" i="360" l="1"/>
  <c r="U48" i="360"/>
  <c r="Z47" i="360"/>
  <c r="Z28" i="360"/>
  <c r="AB28" i="360" s="1"/>
  <c r="AC28" i="360" s="1"/>
  <c r="X28" i="360"/>
  <c r="P30" i="360"/>
  <c r="Q29" i="360"/>
  <c r="T29" i="360" s="1"/>
  <c r="U30" i="360"/>
  <c r="AA29" i="360"/>
  <c r="P48" i="360"/>
  <c r="Q47" i="360"/>
  <c r="T47" i="360" s="1"/>
  <c r="X47" i="360" s="1"/>
  <c r="AB46" i="360"/>
  <c r="AC46" i="360"/>
  <c r="AC40" i="358"/>
  <c r="AB40" i="358"/>
  <c r="U42" i="358"/>
  <c r="AA41" i="358"/>
  <c r="Z41" i="358"/>
  <c r="P42" i="358"/>
  <c r="Q41" i="358"/>
  <c r="T41" i="358" s="1"/>
  <c r="X41" i="358" s="1"/>
  <c r="N114" i="336"/>
  <c r="P114" i="336" s="1"/>
  <c r="L115" i="336" s="1"/>
  <c r="H21" i="333"/>
  <c r="G22" i="333"/>
  <c r="J22" i="333"/>
  <c r="E23" i="333"/>
  <c r="N138" i="336"/>
  <c r="P138" i="336" s="1"/>
  <c r="L139" i="336"/>
  <c r="J23" i="334"/>
  <c r="K23" i="334" s="1"/>
  <c r="L30" i="335"/>
  <c r="E29" i="335"/>
  <c r="H27" i="335"/>
  <c r="G28" i="335"/>
  <c r="J28" i="335"/>
  <c r="F4" i="309"/>
  <c r="F5" i="309" s="1"/>
  <c r="E8" i="309"/>
  <c r="I8" i="309" s="1"/>
  <c r="J8" i="309" s="1"/>
  <c r="E7" i="309"/>
  <c r="E6" i="309"/>
  <c r="E5" i="309"/>
  <c r="E4" i="309"/>
  <c r="I4" i="309" s="1"/>
  <c r="J4" i="309" s="1"/>
  <c r="K8" i="309"/>
  <c r="K7" i="309"/>
  <c r="K6" i="309"/>
  <c r="K5" i="309"/>
  <c r="K4" i="309"/>
  <c r="K24" i="309"/>
  <c r="K23" i="309"/>
  <c r="K22" i="309"/>
  <c r="K21" i="309"/>
  <c r="K20" i="309"/>
  <c r="E24" i="309"/>
  <c r="E23" i="309"/>
  <c r="I23" i="309" s="1"/>
  <c r="J23" i="309" s="1"/>
  <c r="E22" i="309"/>
  <c r="F20" i="309"/>
  <c r="F21" i="309" s="1"/>
  <c r="E21" i="309"/>
  <c r="E20" i="309"/>
  <c r="I20" i="309" s="1"/>
  <c r="J20" i="309" s="1"/>
  <c r="L26" i="308"/>
  <c r="G83" i="308"/>
  <c r="H59" i="308"/>
  <c r="I59" i="308" s="1"/>
  <c r="J59" i="308" s="1"/>
  <c r="L59" i="308" s="1"/>
  <c r="D82" i="308"/>
  <c r="Z29" i="360" l="1"/>
  <c r="AB29" i="360" s="1"/>
  <c r="AC29" i="360" s="1"/>
  <c r="X29" i="360"/>
  <c r="P31" i="360"/>
  <c r="Q30" i="360"/>
  <c r="T30" i="360" s="1"/>
  <c r="AA48" i="360"/>
  <c r="U49" i="360"/>
  <c r="Z48" i="360"/>
  <c r="P49" i="360"/>
  <c r="Q48" i="360"/>
  <c r="T48" i="360" s="1"/>
  <c r="X48" i="360" s="1"/>
  <c r="U31" i="360"/>
  <c r="AA30" i="360"/>
  <c r="AB47" i="360"/>
  <c r="AC47" i="360"/>
  <c r="P43" i="358"/>
  <c r="Q42" i="358"/>
  <c r="T42" i="358" s="1"/>
  <c r="X42" i="358" s="1"/>
  <c r="AB41" i="358"/>
  <c r="AC41" i="358"/>
  <c r="U43" i="358"/>
  <c r="AA42" i="358"/>
  <c r="Z42" i="358"/>
  <c r="J24" i="334"/>
  <c r="K24" i="334"/>
  <c r="N115" i="336"/>
  <c r="P115" i="336" s="1"/>
  <c r="L116" i="336" s="1"/>
  <c r="L140" i="336"/>
  <c r="N139" i="336"/>
  <c r="P139" i="336" s="1"/>
  <c r="H28" i="335"/>
  <c r="G29" i="335"/>
  <c r="E30" i="335" s="1"/>
  <c r="J29" i="335"/>
  <c r="H22" i="333"/>
  <c r="J23" i="333"/>
  <c r="G23" i="333"/>
  <c r="E24" i="333" s="1"/>
  <c r="L31" i="335"/>
  <c r="I21" i="309"/>
  <c r="J21" i="309" s="1"/>
  <c r="I5" i="309"/>
  <c r="J5" i="309" s="1"/>
  <c r="L27" i="308"/>
  <c r="H60" i="308"/>
  <c r="G34" i="309"/>
  <c r="F22" i="309"/>
  <c r="I6" i="309"/>
  <c r="J6" i="309" s="1"/>
  <c r="I22" i="309"/>
  <c r="J22" i="309" s="1"/>
  <c r="I7" i="309"/>
  <c r="J7" i="309" s="1"/>
  <c r="K60" i="308"/>
  <c r="I24" i="309"/>
  <c r="J24" i="309" s="1"/>
  <c r="G46" i="309"/>
  <c r="G12" i="309"/>
  <c r="F6" i="309"/>
  <c r="G33" i="309"/>
  <c r="G57" i="309"/>
  <c r="G62" i="309" s="1"/>
  <c r="U32" i="360" l="1"/>
  <c r="AA31" i="360"/>
  <c r="U50" i="360"/>
  <c r="AA49" i="360"/>
  <c r="Z49" i="360"/>
  <c r="P50" i="360"/>
  <c r="Q50" i="360" s="1"/>
  <c r="T50" i="360" s="1"/>
  <c r="X50" i="360" s="1"/>
  <c r="Q49" i="360"/>
  <c r="T49" i="360" s="1"/>
  <c r="X49" i="360" s="1"/>
  <c r="Z30" i="360"/>
  <c r="AB30" i="360" s="1"/>
  <c r="AC30" i="360" s="1"/>
  <c r="X30" i="360"/>
  <c r="AB48" i="360"/>
  <c r="AC48" i="360"/>
  <c r="P32" i="360"/>
  <c r="Q32" i="360" s="1"/>
  <c r="T32" i="360" s="1"/>
  <c r="Q31" i="360"/>
  <c r="T31" i="360" s="1"/>
  <c r="AA43" i="358"/>
  <c r="U44" i="358"/>
  <c r="Z43" i="358"/>
  <c r="AB42" i="358"/>
  <c r="AC42" i="358"/>
  <c r="P44" i="358"/>
  <c r="Q44" i="358" s="1"/>
  <c r="T44" i="358" s="1"/>
  <c r="X44" i="358" s="1"/>
  <c r="Q43" i="358"/>
  <c r="T43" i="358" s="1"/>
  <c r="X43" i="358" s="1"/>
  <c r="N116" i="336"/>
  <c r="P116" i="336"/>
  <c r="L117" i="336" s="1"/>
  <c r="G24" i="333"/>
  <c r="E25" i="333" s="1"/>
  <c r="J24" i="333"/>
  <c r="H23" i="333"/>
  <c r="H29" i="335"/>
  <c r="J30" i="335"/>
  <c r="G30" i="335"/>
  <c r="E31" i="335" s="1"/>
  <c r="L32" i="335"/>
  <c r="J25" i="334"/>
  <c r="K25" i="334" s="1"/>
  <c r="L141" i="336"/>
  <c r="N140" i="336"/>
  <c r="P140" i="336" s="1"/>
  <c r="F7" i="309"/>
  <c r="F8" i="309" s="1"/>
  <c r="G58" i="309"/>
  <c r="H59" i="309" s="1"/>
  <c r="G47" i="309"/>
  <c r="G49" i="309"/>
  <c r="H51" i="309" s="1"/>
  <c r="H48" i="309"/>
  <c r="I60" i="308"/>
  <c r="J60" i="308" s="1"/>
  <c r="L60" i="308" s="1"/>
  <c r="K61" i="308"/>
  <c r="G63" i="309"/>
  <c r="H64" i="309" s="1"/>
  <c r="G50" i="309"/>
  <c r="G28" i="309"/>
  <c r="F23" i="309"/>
  <c r="F24" i="309" s="1"/>
  <c r="G37" i="309"/>
  <c r="G36" i="309"/>
  <c r="H35" i="309"/>
  <c r="H61" i="308"/>
  <c r="L28" i="308"/>
  <c r="AA50" i="360" l="1"/>
  <c r="Z50" i="360"/>
  <c r="X31" i="360"/>
  <c r="Z31" i="360"/>
  <c r="AB31" i="360" s="1"/>
  <c r="AC31" i="360" s="1"/>
  <c r="AA32" i="360"/>
  <c r="AB32" i="360" s="1"/>
  <c r="AC32" i="360" s="1"/>
  <c r="AB49" i="360"/>
  <c r="AC49" i="360"/>
  <c r="X32" i="360"/>
  <c r="Z32" i="360"/>
  <c r="AA44" i="358"/>
  <c r="Z44" i="358"/>
  <c r="AB43" i="358"/>
  <c r="AC43" i="358"/>
  <c r="G31" i="335"/>
  <c r="E32" i="335" s="1"/>
  <c r="J31" i="335"/>
  <c r="H30" i="335"/>
  <c r="J26" i="334"/>
  <c r="K26" i="334"/>
  <c r="H24" i="333"/>
  <c r="G25" i="333"/>
  <c r="E26" i="333" s="1"/>
  <c r="J25" i="333"/>
  <c r="N141" i="336"/>
  <c r="P141" i="336" s="1"/>
  <c r="L142" i="336"/>
  <c r="N142" i="336" s="1"/>
  <c r="P142" i="336" s="1"/>
  <c r="N117" i="336"/>
  <c r="P117" i="336" s="1"/>
  <c r="L33" i="335"/>
  <c r="L29" i="308"/>
  <c r="H62" i="308"/>
  <c r="H38" i="309"/>
  <c r="H40" i="309" s="1"/>
  <c r="I52" i="309"/>
  <c r="I53" i="309" s="1"/>
  <c r="I61" i="308"/>
  <c r="J61" i="308" s="1"/>
  <c r="L61" i="308" s="1"/>
  <c r="K62" i="308"/>
  <c r="I66" i="309"/>
  <c r="AB50" i="360" l="1"/>
  <c r="AC50" i="360"/>
  <c r="AB44" i="358"/>
  <c r="AC44" i="358"/>
  <c r="E33" i="335"/>
  <c r="H31" i="335"/>
  <c r="G32" i="335"/>
  <c r="J32" i="335"/>
  <c r="G26" i="333"/>
  <c r="E27" i="333" s="1"/>
  <c r="J26" i="333"/>
  <c r="H25" i="333"/>
  <c r="J27" i="334"/>
  <c r="K27" i="334" s="1"/>
  <c r="L34" i="335"/>
  <c r="L30" i="308"/>
  <c r="H63" i="308"/>
  <c r="I62" i="308"/>
  <c r="J62" i="308" s="1"/>
  <c r="L62" i="308" s="1"/>
  <c r="K63" i="308"/>
  <c r="J28" i="334" l="1"/>
  <c r="K28" i="334"/>
  <c r="H26" i="333"/>
  <c r="G27" i="333"/>
  <c r="J27" i="333"/>
  <c r="E28" i="333"/>
  <c r="L35" i="335"/>
  <c r="J33" i="335"/>
  <c r="H32" i="335"/>
  <c r="G33" i="335"/>
  <c r="E34" i="335" s="1"/>
  <c r="H64" i="308"/>
  <c r="L31" i="308"/>
  <c r="I63" i="308"/>
  <c r="J63" i="308" s="1"/>
  <c r="L63" i="308" s="1"/>
  <c r="K64" i="308"/>
  <c r="E35" i="335" l="1"/>
  <c r="H33" i="335"/>
  <c r="G34" i="335"/>
  <c r="J34" i="335"/>
  <c r="H27" i="333"/>
  <c r="E29" i="333"/>
  <c r="G28" i="333"/>
  <c r="J28" i="333"/>
  <c r="L36" i="335"/>
  <c r="K29" i="334"/>
  <c r="J29" i="334"/>
  <c r="I64" i="308"/>
  <c r="J64" i="308" s="1"/>
  <c r="L64" i="308" s="1"/>
  <c r="K65" i="308"/>
  <c r="H65" i="308"/>
  <c r="L32" i="308"/>
  <c r="H66" i="308" s="1"/>
  <c r="I66" i="308" s="1"/>
  <c r="J66" i="308" s="1"/>
  <c r="L37" i="335" l="1"/>
  <c r="H28" i="333"/>
  <c r="J29" i="333"/>
  <c r="G29" i="333"/>
  <c r="E30" i="333" s="1"/>
  <c r="H34" i="335"/>
  <c r="G35" i="335"/>
  <c r="E36" i="335" s="1"/>
  <c r="J35" i="335"/>
  <c r="J30" i="334"/>
  <c r="K30" i="334"/>
  <c r="L66" i="308"/>
  <c r="I65" i="308"/>
  <c r="J65" i="308" s="1"/>
  <c r="L65" i="308" s="1"/>
  <c r="K66" i="308"/>
  <c r="H35" i="335" l="1"/>
  <c r="J36" i="335"/>
  <c r="G36" i="335"/>
  <c r="E37" i="335" s="1"/>
  <c r="G30" i="333"/>
  <c r="J30" i="333"/>
  <c r="H29" i="333"/>
  <c r="E31" i="333"/>
  <c r="J31" i="334"/>
  <c r="K31" i="334"/>
  <c r="L38" i="335"/>
  <c r="H36" i="335" l="1"/>
  <c r="G37" i="335"/>
  <c r="E38" i="335" s="1"/>
  <c r="J37" i="335"/>
  <c r="J32" i="334"/>
  <c r="K32" i="334" s="1"/>
  <c r="H30" i="333"/>
  <c r="J31" i="333"/>
  <c r="G31" i="333"/>
  <c r="E32" i="333" s="1"/>
  <c r="L39" i="335"/>
  <c r="J33" i="334" l="1"/>
  <c r="K33" i="334" s="1"/>
  <c r="G32" i="333"/>
  <c r="J32" i="333"/>
  <c r="H31" i="333"/>
  <c r="H37" i="335"/>
  <c r="G38" i="335"/>
  <c r="E39" i="335" s="1"/>
  <c r="J38" i="335"/>
  <c r="M30" i="333"/>
  <c r="M26" i="333"/>
  <c r="L40" i="335"/>
  <c r="E40" i="335" l="1"/>
  <c r="J39" i="335"/>
  <c r="H38" i="335"/>
  <c r="G39" i="335"/>
  <c r="J34" i="334"/>
  <c r="K34" i="334"/>
  <c r="M31" i="333"/>
  <c r="M5" i="333"/>
  <c r="M6" i="333"/>
  <c r="M13" i="333"/>
  <c r="M9" i="333"/>
  <c r="M12" i="333"/>
  <c r="M7" i="333"/>
  <c r="M10" i="333"/>
  <c r="M15" i="333"/>
  <c r="M4" i="333"/>
  <c r="M8" i="333"/>
  <c r="F4" i="335" s="1"/>
  <c r="M14" i="333"/>
  <c r="M11" i="333"/>
  <c r="M17" i="333"/>
  <c r="M16" i="333"/>
  <c r="M18" i="333"/>
  <c r="M20" i="333"/>
  <c r="M19" i="333"/>
  <c r="M23" i="333"/>
  <c r="M24" i="333"/>
  <c r="M21" i="333"/>
  <c r="M22" i="333"/>
  <c r="M27" i="333"/>
  <c r="M25" i="333"/>
  <c r="M28" i="333"/>
  <c r="M29" i="333"/>
  <c r="L41" i="335"/>
  <c r="L42" i="335" l="1"/>
  <c r="J35" i="334"/>
  <c r="K35" i="334"/>
  <c r="F5" i="335"/>
  <c r="H39" i="335"/>
  <c r="G40" i="335"/>
  <c r="E41" i="335" s="1"/>
  <c r="J40" i="335"/>
  <c r="H40" i="335" l="1"/>
  <c r="G41" i="335"/>
  <c r="E42" i="335" s="1"/>
  <c r="J41" i="335"/>
  <c r="L43" i="335"/>
  <c r="E43" i="335" l="1"/>
  <c r="H41" i="335"/>
  <c r="J42" i="335"/>
  <c r="G42" i="335"/>
  <c r="L44" i="335"/>
  <c r="G43" i="335" l="1"/>
  <c r="E44" i="335" s="1"/>
  <c r="H42" i="335"/>
  <c r="J43" i="335"/>
  <c r="L45" i="335"/>
  <c r="E45" i="335" l="1"/>
  <c r="H43" i="335"/>
  <c r="G44" i="335"/>
  <c r="J44" i="335"/>
  <c r="L46" i="335"/>
  <c r="H44" i="335" l="1"/>
  <c r="G45" i="335"/>
  <c r="E46" i="335" s="1"/>
  <c r="J45" i="335"/>
  <c r="L47" i="335"/>
  <c r="E47" i="335" l="1"/>
  <c r="H45" i="335"/>
  <c r="G46" i="335"/>
  <c r="J46" i="335"/>
  <c r="L48" i="335"/>
  <c r="L49" i="335" l="1"/>
  <c r="E48" i="335"/>
  <c r="H46" i="335"/>
  <c r="G47" i="335"/>
  <c r="J47" i="335"/>
  <c r="E49" i="335" l="1"/>
  <c r="H47" i="335"/>
  <c r="J48" i="335"/>
  <c r="G48" i="335"/>
  <c r="L50" i="335"/>
  <c r="G49" i="335" l="1"/>
  <c r="E50" i="335" s="1"/>
  <c r="J49" i="335"/>
  <c r="H48" i="335"/>
  <c r="L51" i="335"/>
  <c r="H49" i="335" l="1"/>
  <c r="G50" i="335"/>
  <c r="E51" i="335" s="1"/>
  <c r="J50" i="335"/>
  <c r="L52" i="335"/>
  <c r="J51" i="335" l="1"/>
  <c r="G51" i="335"/>
  <c r="E52" i="335" s="1"/>
  <c r="H50" i="335"/>
  <c r="L53" i="335"/>
  <c r="H51" i="335" l="1"/>
  <c r="G52" i="335"/>
  <c r="E53" i="335" s="1"/>
  <c r="J52" i="335"/>
  <c r="L54" i="335"/>
  <c r="H52" i="335" l="1"/>
  <c r="G53" i="335"/>
  <c r="E54" i="335" s="1"/>
  <c r="J53" i="335"/>
  <c r="L55" i="335"/>
  <c r="H53" i="335" l="1"/>
  <c r="J54" i="335"/>
  <c r="G54" i="335"/>
  <c r="E55" i="335" s="1"/>
  <c r="L56" i="335"/>
  <c r="G55" i="335" l="1"/>
  <c r="E56" i="335" s="1"/>
  <c r="J55" i="335"/>
  <c r="H54" i="335"/>
  <c r="L57" i="335"/>
  <c r="H55" i="335" l="1"/>
  <c r="G56" i="335"/>
  <c r="E57" i="335" s="1"/>
  <c r="J56" i="335"/>
  <c r="L58" i="335"/>
  <c r="J57" i="335" l="1"/>
  <c r="H56" i="335"/>
  <c r="G57" i="335"/>
  <c r="E58" i="335" s="1"/>
  <c r="L59" i="335"/>
  <c r="H57" i="335" l="1"/>
  <c r="G58" i="335"/>
  <c r="E59" i="335" s="1"/>
  <c r="J58" i="335"/>
  <c r="L60" i="335"/>
  <c r="H58" i="335" l="1"/>
  <c r="G59" i="335"/>
  <c r="E60" i="335" s="1"/>
  <c r="J59" i="335"/>
  <c r="L61" i="335"/>
  <c r="H59" i="335" l="1"/>
  <c r="J60" i="335"/>
  <c r="G60" i="335"/>
  <c r="E61" i="335" s="1"/>
  <c r="L62" i="335"/>
  <c r="G61" i="335" l="1"/>
  <c r="E62" i="335" s="1"/>
  <c r="J61" i="335"/>
  <c r="H60" i="335"/>
  <c r="L63" i="335"/>
  <c r="H61" i="335" l="1"/>
  <c r="G62" i="335"/>
  <c r="E63" i="335" s="1"/>
  <c r="J62" i="335"/>
  <c r="L64" i="335"/>
  <c r="H62" i="335" l="1"/>
  <c r="G63" i="335"/>
  <c r="E64" i="335" s="1"/>
  <c r="J63" i="335"/>
  <c r="L65" i="335"/>
  <c r="H63" i="335" l="1"/>
  <c r="G64" i="335"/>
  <c r="E65" i="335" s="1"/>
  <c r="J64" i="335"/>
  <c r="L66" i="335"/>
  <c r="H64" i="335" l="1"/>
  <c r="G65" i="335"/>
  <c r="E66" i="335" s="1"/>
  <c r="J65" i="335"/>
  <c r="L67" i="335"/>
  <c r="H65" i="335" l="1"/>
  <c r="J66" i="335"/>
  <c r="G66" i="335"/>
  <c r="E67" i="335" s="1"/>
  <c r="L68" i="335"/>
  <c r="M67" i="335" s="1"/>
  <c r="G67" i="335" l="1"/>
  <c r="J67" i="335"/>
  <c r="H66" i="335"/>
  <c r="M65" i="335"/>
  <c r="M63" i="335"/>
  <c r="M61" i="335"/>
  <c r="M59" i="335"/>
  <c r="M18" i="335" l="1"/>
  <c r="M12" i="335"/>
  <c r="M11" i="335"/>
  <c r="M22" i="335"/>
  <c r="M19" i="335"/>
  <c r="M20" i="335"/>
  <c r="M21" i="335"/>
  <c r="M23" i="335"/>
  <c r="M13" i="335"/>
  <c r="M17" i="335"/>
  <c r="M24" i="335"/>
  <c r="M14" i="335"/>
  <c r="M16" i="335"/>
  <c r="M15" i="335"/>
  <c r="G4" i="335" s="1"/>
  <c r="M25" i="335"/>
  <c r="M26" i="335"/>
  <c r="M27" i="335"/>
  <c r="M29" i="335"/>
  <c r="M28" i="335"/>
  <c r="M31" i="335"/>
  <c r="M30" i="335"/>
  <c r="M33" i="335"/>
  <c r="M32" i="335"/>
  <c r="M35" i="335"/>
  <c r="M34" i="335"/>
  <c r="M36" i="335"/>
  <c r="M37" i="335"/>
  <c r="M38" i="335"/>
  <c r="M40" i="335"/>
  <c r="M39" i="335"/>
  <c r="M41" i="335"/>
  <c r="M42" i="335"/>
  <c r="M43" i="335"/>
  <c r="M46" i="335"/>
  <c r="M44" i="335"/>
  <c r="M45" i="335"/>
  <c r="M47" i="335"/>
  <c r="M48" i="335"/>
  <c r="M49" i="335"/>
  <c r="M50" i="335"/>
  <c r="M51" i="335"/>
  <c r="M54" i="335"/>
  <c r="M53" i="335"/>
  <c r="M52" i="335"/>
  <c r="M55" i="335"/>
  <c r="M56" i="335"/>
  <c r="M57" i="335"/>
  <c r="M60" i="335"/>
  <c r="M66" i="335"/>
  <c r="M62" i="335"/>
  <c r="M64" i="335"/>
  <c r="M58" i="335"/>
  <c r="H4" i="335" l="1"/>
  <c r="G5" i="335"/>
  <c r="H5" i="3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tc={8FBBB3F6-C6C3-4E59-B252-00F7EE4B552B}</author>
  </authors>
  <commentList>
    <comment ref="G23" authorId="0" shapeId="0" xr:uid="{8FBBB3F6-C6C3-4E59-B252-00F7EE4B552B}">
      <text>
        <t>[Threaded comment]
Your version of Excel allows you to read this threaded comment; however, any edits to it will get removed if the file is opened in a newer version of Excel. Learn more: https://go.microsoft.com/fwlink/?linkid=870924
Comment:
    Death benefit payable at BOY</t>
      </text>
    </comment>
  </commentList>
</comments>
</file>

<file path=xl/sharedStrings.xml><?xml version="1.0" encoding="utf-8"?>
<sst xmlns="http://schemas.openxmlformats.org/spreadsheetml/2006/main" count="3835" uniqueCount="1889">
  <si>
    <t xml:space="preserve"> </t>
  </si>
  <si>
    <t>C2</t>
  </si>
  <si>
    <t>C4</t>
  </si>
  <si>
    <t>Year 1</t>
  </si>
  <si>
    <t>This workbook contains all Excel questions and solutions for Course ILALFMU (ILA 201-U) Curated Past Exams for the 2025-2026 curriculum.</t>
  </si>
  <si>
    <t>Course ILALFMU (ILA 201 - U)</t>
  </si>
  <si>
    <t>QUESTION 1 (d)</t>
  </si>
  <si>
    <t>Response for parts (a), (b) and (c) are to be provided in the Word document.</t>
  </si>
  <si>
    <t>Response for part (d) can be provided either in the word document or in this tab.</t>
  </si>
  <si>
    <t>Tables for part (d)</t>
  </si>
  <si>
    <r>
      <rPr>
        <sz val="7"/>
        <color rgb="FF002060"/>
        <rFont val="Times New Roman"/>
        <family val="1"/>
      </rPr>
      <t xml:space="preserve"> </t>
    </r>
    <r>
      <rPr>
        <sz val="12"/>
        <color rgb="FF002060"/>
        <rFont val="Times New Roman"/>
        <family val="1"/>
      </rPr>
      <t>LHR has three major business units, denoted X, Y, and Z.  You are given the following information on the capital allocation to each unit:</t>
    </r>
  </si>
  <si>
    <t>Business unit</t>
  </si>
  <si>
    <t>Stand-alone risk capital</t>
  </si>
  <si>
    <t>X</t>
  </si>
  <si>
    <t>Y</t>
  </si>
  <si>
    <t>Z</t>
  </si>
  <si>
    <t>Combination of business units</t>
  </si>
  <si>
    <t>Required risk capital</t>
  </si>
  <si>
    <t>X+Y</t>
  </si>
  <si>
    <t>Y+Z</t>
  </si>
  <si>
    <t>X+Z</t>
  </si>
  <si>
    <t>X+Y+Z</t>
  </si>
  <si>
    <t>Critique the following statements:</t>
  </si>
  <si>
    <t>A.    Unit X is the least profitable business unit due to its large risk capital requirement.  If LHR decides to eliminate a business unit, it should eliminate X.</t>
  </si>
  <si>
    <t>ANSWER:</t>
  </si>
  <si>
    <t>B.    The required risk capital of the combined X+Y+Z should be allocated across the business units.</t>
  </si>
  <si>
    <t>C.    Having unallocated risk capital would indicate LHR is not covering all of its risks.</t>
  </si>
  <si>
    <t>QUESTION 2</t>
  </si>
  <si>
    <t>Response for parts (a) and (c)(ii) are to be provided in the Word document.</t>
  </si>
  <si>
    <t>Response for parts (b) and (c)(i) are to be provided in this tab.</t>
  </si>
  <si>
    <t>AKL has the following Best’s Capital Adequacy Ratio (BCAR) components:</t>
  </si>
  <si>
    <t>C1-Non Eq</t>
  </si>
  <si>
    <t>C1-Eq</t>
  </si>
  <si>
    <t>C3-Int</t>
  </si>
  <si>
    <t>C3-Mkt</t>
  </si>
  <si>
    <t>Available Capital</t>
  </si>
  <si>
    <t xml:space="preserve">Net Required Capital = </t>
  </si>
  <si>
    <t>Show all work, including writing out relevant formulas used in any calculations</t>
  </si>
  <si>
    <t>Each transaction would impact capital as follows:</t>
  </si>
  <si>
    <t>Buy term</t>
  </si>
  <si>
    <t>Sell VA</t>
  </si>
  <si>
    <t>Both</t>
  </si>
  <si>
    <t>Change in Net Required Capital</t>
  </si>
  <si>
    <t>Change in Available Capital</t>
  </si>
  <si>
    <t>QUESTION 3</t>
  </si>
  <si>
    <t>Response for parts (a), (b), (c) and (d)(i) are to be provided in the Word document.</t>
  </si>
  <si>
    <t>Response for part (d)(ii) is to be provided in this tab.</t>
  </si>
  <si>
    <t>Assume that PBR has been implemented at the time of reporting and the Actuarial Method uses VM-20 without modifications.  You are given:</t>
  </si>
  <si>
    <t>Clearly Defined Hedging Strategy?</t>
  </si>
  <si>
    <t>No</t>
  </si>
  <si>
    <t>Perform Stochastic Exclusion Test?</t>
  </si>
  <si>
    <t>Yes</t>
  </si>
  <si>
    <t>Pass Stochastic Exclusion Test?</t>
  </si>
  <si>
    <t>NPR using VM-20</t>
  </si>
  <si>
    <t>NPR using existing CRVM</t>
  </si>
  <si>
    <t>Deterministic Reserve</t>
  </si>
  <si>
    <t>Stochastic Reserve</t>
  </si>
  <si>
    <t>Due and Deferred Premium Asset</t>
  </si>
  <si>
    <t xml:space="preserve">(d) (ii)  Calculate the Primary Security Requirement. </t>
  </si>
  <si>
    <t>Show all work, including writing out relevant formulas used in any calculations.</t>
  </si>
  <si>
    <t>QUESTION 4</t>
  </si>
  <si>
    <t>Response for part (d) is to be provided in this tab.</t>
  </si>
  <si>
    <r>
      <t>(d)</t>
    </r>
    <r>
      <rPr>
        <sz val="7"/>
        <color rgb="FF002060"/>
        <rFont val="Times New Roman"/>
        <family val="1"/>
      </rPr>
      <t xml:space="preserve">            </t>
    </r>
    <r>
      <rPr>
        <sz val="12"/>
        <color rgb="FF002060"/>
        <rFont val="Times New Roman"/>
        <family val="1"/>
      </rPr>
      <t>(</t>
    </r>
    <r>
      <rPr>
        <i/>
        <sz val="12"/>
        <color rgb="FF002060"/>
        <rFont val="Times New Roman"/>
        <family val="1"/>
      </rPr>
      <t>3 points</t>
    </r>
    <r>
      <rPr>
        <sz val="12"/>
        <color rgb="FF002060"/>
        <rFont val="Times New Roman"/>
        <family val="1"/>
      </rPr>
      <t>)  You are given the following VM-20 information for an individual term life policy:</t>
    </r>
  </si>
  <si>
    <t>Policy Level</t>
  </si>
  <si>
    <t xml:space="preserve">   Net premium reserve (NPR)</t>
  </si>
  <si>
    <t>Product Group Level</t>
  </si>
  <si>
    <t xml:space="preserve">   Deterministic reserve (DR)</t>
  </si>
  <si>
    <t xml:space="preserve">   Sum of policy NPRs</t>
  </si>
  <si>
    <t>Assume:</t>
  </si>
  <si>
    <r>
      <t>·</t>
    </r>
    <r>
      <rPr>
        <sz val="7"/>
        <color rgb="FF002060"/>
        <rFont val="Times New Roman"/>
        <family val="1"/>
      </rPr>
      <t xml:space="preserve">       </t>
    </r>
    <r>
      <rPr>
        <sz val="12"/>
        <color rgb="FF002060"/>
        <rFont val="Times New Roman"/>
        <family val="1"/>
      </rPr>
      <t>The product group passes the stochastic exclusion test</t>
    </r>
  </si>
  <si>
    <r>
      <t>·</t>
    </r>
    <r>
      <rPr>
        <sz val="7"/>
        <color rgb="FF002060"/>
        <rFont val="Times New Roman"/>
        <family val="1"/>
      </rPr>
      <t xml:space="preserve">       </t>
    </r>
    <r>
      <rPr>
        <sz val="12"/>
        <color rgb="FF002060"/>
        <rFont val="Times New Roman"/>
        <family val="1"/>
      </rPr>
      <t>There is no reinsurance</t>
    </r>
  </si>
  <si>
    <t>Calculate the VM-20 reserve for the policy.  Show all work.</t>
  </si>
  <si>
    <t>QUESTION 5 (a)</t>
  </si>
  <si>
    <t>Response for part (a) is to be provided in this tab.</t>
  </si>
  <si>
    <t>Response for parts (b) and (c) are to be provided in the Word document.</t>
  </si>
  <si>
    <t>Regarding the FASB's new guidance for long duration contracts</t>
  </si>
  <si>
    <t>(ASU 2018-12):</t>
  </si>
  <si>
    <t>Projected Cash Flows</t>
  </si>
  <si>
    <t>Projection Year</t>
  </si>
  <si>
    <t>Year 2</t>
  </si>
  <si>
    <t>Year 3</t>
  </si>
  <si>
    <t>PV Year 4 +</t>
  </si>
  <si>
    <t>Gross Premiums</t>
  </si>
  <si>
    <t>Benefits &amp; Claim Expenses</t>
  </si>
  <si>
    <t>QUESTION 6 (b)</t>
  </si>
  <si>
    <t>Response for part (a) is to be provided in the Word document.</t>
  </si>
  <si>
    <t>Response for part (b) is to be provided in this tab.</t>
  </si>
  <si>
    <r>
      <t>(b) (</t>
    </r>
    <r>
      <rPr>
        <i/>
        <sz val="12"/>
        <color rgb="FF002060"/>
        <rFont val="Times New Roman"/>
        <family val="1"/>
      </rPr>
      <t>2 points</t>
    </r>
    <r>
      <rPr>
        <sz val="12"/>
        <color rgb="FF002060"/>
        <rFont val="Times New Roman"/>
        <family val="1"/>
      </rPr>
      <t>)  You are given the following information for a single scenario from the VM-20 stochastic reserve model:</t>
    </r>
  </si>
  <si>
    <r>
      <t>·</t>
    </r>
    <r>
      <rPr>
        <sz val="7"/>
        <color rgb="FF002060"/>
        <rFont val="Times New Roman"/>
        <family val="1"/>
      </rPr>
      <t xml:space="preserve">       </t>
    </r>
    <r>
      <rPr>
        <sz val="12"/>
        <color rgb="FF002060"/>
        <rFont val="Times New Roman"/>
        <family val="1"/>
      </rPr>
      <t>Product:  5-year nonrenewable term insurance</t>
    </r>
  </si>
  <si>
    <r>
      <t>·</t>
    </r>
    <r>
      <rPr>
        <sz val="7"/>
        <color rgb="FF002060"/>
        <rFont val="Times New Roman"/>
        <family val="1"/>
      </rPr>
      <t xml:space="preserve">       </t>
    </r>
    <r>
      <rPr>
        <sz val="12"/>
        <color rgb="FF002060"/>
        <rFont val="Times New Roman"/>
        <family val="1"/>
      </rPr>
      <t>One-year Treasury rate:  5%</t>
    </r>
  </si>
  <si>
    <r>
      <t>·</t>
    </r>
    <r>
      <rPr>
        <sz val="7"/>
        <color rgb="FF002060"/>
        <rFont val="Times New Roman"/>
        <family val="1"/>
      </rPr>
      <t xml:space="preserve">       </t>
    </r>
    <r>
      <rPr>
        <sz val="12"/>
        <color rgb="FF002060"/>
        <rFont val="Times New Roman"/>
        <family val="1"/>
      </rPr>
      <t>Starting assets:  10,000</t>
    </r>
  </si>
  <si>
    <t>Statement Value of Assets (end of year)</t>
  </si>
  <si>
    <t xml:space="preserve">Calculate the scenario reserve utilizing the Greatest Present Value of Accumulated Deficiency method.  </t>
  </si>
  <si>
    <t>QUESTION 9 (b)</t>
  </si>
  <si>
    <t>Response for parts (a) and (c) are to be provided in the Word document.</t>
  </si>
  <si>
    <r>
      <t>(b)</t>
    </r>
    <r>
      <rPr>
        <sz val="7"/>
        <color rgb="FF002060"/>
        <rFont val="Times New Roman"/>
        <family val="1"/>
      </rPr>
      <t xml:space="preserve"> </t>
    </r>
    <r>
      <rPr>
        <sz val="12"/>
        <color rgb="FF002060"/>
        <rFont val="Times New Roman"/>
        <family val="1"/>
      </rPr>
      <t>(</t>
    </r>
    <r>
      <rPr>
        <i/>
        <sz val="12"/>
        <color rgb="FF002060"/>
        <rFont val="Times New Roman"/>
        <family val="1"/>
      </rPr>
      <t>4 points</t>
    </r>
    <r>
      <rPr>
        <sz val="12"/>
        <color rgb="FF002060"/>
        <rFont val="Times New Roman"/>
        <family val="1"/>
      </rPr>
      <t xml:space="preserve">)  On the valuation date, ABC will follow Actuarial Guideline 48 for the first time.  You are given the following values as of the valuation date: </t>
    </r>
  </si>
  <si>
    <t>UL CRVM</t>
  </si>
  <si>
    <t>AG 38</t>
  </si>
  <si>
    <t>Actuarial Method Reserve</t>
  </si>
  <si>
    <t>Economic Reserve</t>
  </si>
  <si>
    <t>Calculate the impact on:</t>
  </si>
  <si>
    <r>
      <t>(i)</t>
    </r>
    <r>
      <rPr>
        <sz val="7"/>
        <color rgb="FF002060"/>
        <rFont val="Times New Roman"/>
        <family val="1"/>
      </rPr>
      <t xml:space="preserve">             </t>
    </r>
    <r>
      <rPr>
        <sz val="12"/>
        <color rgb="FF002060"/>
        <rFont val="Times New Roman"/>
        <family val="1"/>
      </rPr>
      <t>Reserve credit</t>
    </r>
  </si>
  <si>
    <r>
      <t>(ii)</t>
    </r>
    <r>
      <rPr>
        <sz val="7"/>
        <color rgb="FF002060"/>
        <rFont val="Times New Roman"/>
        <family val="1"/>
      </rPr>
      <t xml:space="preserve">           </t>
    </r>
    <r>
      <rPr>
        <sz val="12"/>
        <color rgb="FF002060"/>
        <rFont val="Times New Roman"/>
        <family val="1"/>
      </rPr>
      <t>Redundant Reserve (Financed Reserve)</t>
    </r>
  </si>
  <si>
    <t>QUESTION 10 (b) and (c)</t>
  </si>
  <si>
    <t>Response for parts (b) and (c) are to be provided in this tab.</t>
  </si>
  <si>
    <t>For a block of UL policies issued by BLL Life on 1/1/2017, you are given:</t>
  </si>
  <si>
    <r>
      <t>·</t>
    </r>
    <r>
      <rPr>
        <sz val="7"/>
        <color rgb="FF002060"/>
        <rFont val="Times New Roman"/>
        <family val="1"/>
      </rPr>
      <t xml:space="preserve">       </t>
    </r>
    <r>
      <rPr>
        <sz val="12"/>
        <color rgb="FF002060"/>
        <rFont val="Times New Roman"/>
        <family val="1"/>
      </rPr>
      <t>Initial face amount is 5,000</t>
    </r>
  </si>
  <si>
    <r>
      <t>·</t>
    </r>
    <r>
      <rPr>
        <sz val="7"/>
        <color rgb="FF002060"/>
        <rFont val="Times New Roman"/>
        <family val="1"/>
      </rPr>
      <t xml:space="preserve">       </t>
    </r>
    <r>
      <rPr>
        <sz val="12"/>
        <color rgb="FF002060"/>
        <rFont val="Times New Roman"/>
        <family val="1"/>
      </rPr>
      <t>Insurance inforce is used as the basis for DAC amortization under ASU 2018-12</t>
    </r>
  </si>
  <si>
    <r>
      <t>·</t>
    </r>
    <r>
      <rPr>
        <sz val="7"/>
        <color rgb="FF002060"/>
        <rFont val="Times New Roman"/>
        <family val="1"/>
      </rPr>
      <t xml:space="preserve">       </t>
    </r>
    <r>
      <rPr>
        <sz val="12"/>
        <color rgb="FF002060"/>
        <rFont val="Times New Roman"/>
        <family val="1"/>
      </rPr>
      <t>Mortality is the only decrement and occurs at the end of the year</t>
    </r>
  </si>
  <si>
    <t>Assumption/Policy Information</t>
  </si>
  <si>
    <t>Deferred Acquisition Expenses</t>
  </si>
  <si>
    <t>Assumed Mortality Rate</t>
  </si>
  <si>
    <t>FAS 97 DAC Balance – End of Year</t>
  </si>
  <si>
    <t>n/a</t>
  </si>
  <si>
    <r>
      <t>(b)</t>
    </r>
    <r>
      <rPr>
        <sz val="7"/>
        <color rgb="FF002060"/>
        <rFont val="Times New Roman"/>
        <family val="1"/>
      </rPr>
      <t xml:space="preserve"> </t>
    </r>
    <r>
      <rPr>
        <sz val="12"/>
        <color rgb="FF002060"/>
        <rFont val="Times New Roman"/>
        <family val="1"/>
      </rPr>
      <t>(</t>
    </r>
    <r>
      <rPr>
        <i/>
        <sz val="12"/>
        <color rgb="FF002060"/>
        <rFont val="Times New Roman"/>
        <family val="1"/>
      </rPr>
      <t>4 points</t>
    </r>
    <r>
      <rPr>
        <sz val="12"/>
        <color rgb="FF002060"/>
        <rFont val="Times New Roman"/>
        <family val="1"/>
      </rPr>
      <t xml:space="preserve">)  Assume BLL has all the necessary data requirements discussed in part (a) for a full retrospective transition with a transition date of 1/1/2020. </t>
    </r>
  </si>
  <si>
    <r>
      <t>(i)</t>
    </r>
    <r>
      <rPr>
        <sz val="7"/>
        <color rgb="FF002060"/>
        <rFont val="Times New Roman"/>
        <family val="1"/>
      </rPr>
      <t xml:space="preserve">  </t>
    </r>
    <r>
      <rPr>
        <sz val="12"/>
        <color rgb="FF002060"/>
        <rFont val="Times New Roman"/>
        <family val="1"/>
      </rPr>
      <t>(</t>
    </r>
    <r>
      <rPr>
        <i/>
        <sz val="12"/>
        <color rgb="FF002060"/>
        <rFont val="Times New Roman"/>
        <family val="1"/>
      </rPr>
      <t>3 points</t>
    </r>
    <r>
      <rPr>
        <sz val="12"/>
        <color rgb="FF002060"/>
        <rFont val="Times New Roman"/>
        <family val="1"/>
      </rPr>
      <t xml:space="preserve">)  Calculate the DAC balance as of 1/1/2020 under ASU 2018-12 using a full retrospective approach.  </t>
    </r>
  </si>
  <si>
    <r>
      <t>(ii)</t>
    </r>
    <r>
      <rPr>
        <sz val="7"/>
        <color rgb="FF002060"/>
        <rFont val="Times New Roman"/>
        <family val="1"/>
      </rPr>
      <t xml:space="preserve">  </t>
    </r>
    <r>
      <rPr>
        <sz val="12"/>
        <color rgb="FF002060"/>
        <rFont val="Times New Roman"/>
        <family val="1"/>
      </rPr>
      <t>(</t>
    </r>
    <r>
      <rPr>
        <i/>
        <sz val="12"/>
        <color rgb="FF002060"/>
        <rFont val="Times New Roman"/>
        <family val="1"/>
      </rPr>
      <t>1 point</t>
    </r>
    <r>
      <rPr>
        <sz val="12"/>
        <color rgb="FF002060"/>
        <rFont val="Times New Roman"/>
        <family val="1"/>
      </rPr>
      <t>)  Recommend either the full retrospective or modified retrospective approach for BLL. Justify your answer</t>
    </r>
  </si>
  <si>
    <r>
      <t>(c)</t>
    </r>
    <r>
      <rPr>
        <sz val="7"/>
        <color rgb="FF002060"/>
        <rFont val="Times New Roman"/>
        <family val="1"/>
      </rPr>
      <t> </t>
    </r>
    <r>
      <rPr>
        <sz val="12"/>
        <color rgb="FF002060"/>
        <rFont val="Times New Roman"/>
        <family val="1"/>
      </rPr>
      <t>(</t>
    </r>
    <r>
      <rPr>
        <i/>
        <sz val="12"/>
        <color rgb="FF002060"/>
        <rFont val="Times New Roman"/>
        <family val="1"/>
      </rPr>
      <t>4 points</t>
    </r>
    <r>
      <rPr>
        <sz val="12"/>
        <color rgb="FF002060"/>
        <rFont val="Times New Roman"/>
        <family val="1"/>
      </rPr>
      <t>)  You are given the following updated information:</t>
    </r>
  </si>
  <si>
    <r>
      <t>·</t>
    </r>
    <r>
      <rPr>
        <sz val="7"/>
        <color rgb="FF002060"/>
        <rFont val="Times New Roman"/>
        <family val="1"/>
      </rPr>
      <t xml:space="preserve">       </t>
    </r>
    <r>
      <rPr>
        <sz val="12"/>
        <color rgb="FF002060"/>
        <rFont val="Times New Roman"/>
        <family val="1"/>
      </rPr>
      <t>Actual mortality experience for 2017 was consistent with expected.</t>
    </r>
  </si>
  <si>
    <r>
      <t>·</t>
    </r>
    <r>
      <rPr>
        <sz val="7"/>
        <color rgb="FF002060"/>
        <rFont val="Times New Roman"/>
        <family val="1"/>
      </rPr>
      <t xml:space="preserve">       </t>
    </r>
    <r>
      <rPr>
        <sz val="12"/>
        <color rgb="FF002060"/>
        <rFont val="Times New Roman"/>
        <family val="1"/>
      </rPr>
      <t xml:space="preserve">Actual mortality rate in 2018 was 25%. </t>
    </r>
  </si>
  <si>
    <r>
      <t>·</t>
    </r>
    <r>
      <rPr>
        <sz val="7"/>
        <color rgb="FF002060"/>
        <rFont val="Times New Roman"/>
        <family val="1"/>
      </rPr>
      <t xml:space="preserve">       </t>
    </r>
    <r>
      <rPr>
        <sz val="12"/>
        <color rgb="FF002060"/>
        <rFont val="Times New Roman"/>
        <family val="1"/>
      </rPr>
      <t xml:space="preserve">BLL made no adjustments to mortality assumptions in years 2019 and later. </t>
    </r>
  </si>
  <si>
    <r>
      <t>(i)</t>
    </r>
    <r>
      <rPr>
        <sz val="7"/>
        <color rgb="FF002060"/>
        <rFont val="Times New Roman"/>
        <family val="1"/>
      </rPr>
      <t xml:space="preserve"> </t>
    </r>
    <r>
      <rPr>
        <sz val="12"/>
        <color rgb="FF002060"/>
        <rFont val="Times New Roman"/>
        <family val="1"/>
      </rPr>
      <t>(</t>
    </r>
    <r>
      <rPr>
        <i/>
        <sz val="12"/>
        <color rgb="FF002060"/>
        <rFont val="Times New Roman"/>
        <family val="1"/>
      </rPr>
      <t>3 points</t>
    </r>
    <r>
      <rPr>
        <sz val="12"/>
        <color rgb="FF002060"/>
        <rFont val="Times New Roman"/>
        <family val="1"/>
      </rPr>
      <t>)</t>
    </r>
    <r>
      <rPr>
        <i/>
        <sz val="12"/>
        <color rgb="FF002060"/>
        <rFont val="Times New Roman"/>
        <family val="1"/>
      </rPr>
      <t xml:space="preserve">  </t>
    </r>
    <r>
      <rPr>
        <sz val="12"/>
        <color rgb="FF002060"/>
        <rFont val="Times New Roman"/>
        <family val="1"/>
      </rPr>
      <t xml:space="preserve">Recalculate the DAC balance as of 1/1/2020 under ASU 2018-12 using a full retrospective approach.  </t>
    </r>
  </si>
  <si>
    <r>
      <t>(ii)</t>
    </r>
    <r>
      <rPr>
        <sz val="7"/>
        <color rgb="FF002060"/>
        <rFont val="Times New Roman"/>
        <family val="1"/>
      </rPr>
      <t xml:space="preserve"> </t>
    </r>
    <r>
      <rPr>
        <sz val="12"/>
        <color rgb="FF002060"/>
        <rFont val="Times New Roman"/>
        <family val="1"/>
      </rPr>
      <t>(</t>
    </r>
    <r>
      <rPr>
        <i/>
        <sz val="12"/>
        <color rgb="FF002060"/>
        <rFont val="Times New Roman"/>
        <family val="1"/>
      </rPr>
      <t>1 point</t>
    </r>
    <r>
      <rPr>
        <sz val="12"/>
        <color rgb="FF002060"/>
        <rFont val="Times New Roman"/>
        <family val="1"/>
      </rPr>
      <t>)</t>
    </r>
    <r>
      <rPr>
        <i/>
        <sz val="12"/>
        <color rgb="FF002060"/>
        <rFont val="Times New Roman"/>
        <family val="1"/>
      </rPr>
      <t xml:space="preserve">  </t>
    </r>
    <r>
      <rPr>
        <sz val="12"/>
        <color rgb="FF002060"/>
        <rFont val="Times New Roman"/>
        <family val="1"/>
      </rPr>
      <t>Describe if the change in mortality experience alters the recommendation in part (b)(ii)</t>
    </r>
  </si>
  <si>
    <r>
      <t>(a)</t>
    </r>
    <r>
      <rPr>
        <strike/>
        <sz val="7"/>
        <color rgb="FF002060"/>
        <rFont val="Times New Roman"/>
        <family val="1"/>
      </rPr>
      <t xml:space="preserve">  </t>
    </r>
    <r>
      <rPr>
        <strike/>
        <sz val="12"/>
        <color rgb="FF002060"/>
        <rFont val="Times New Roman"/>
        <family val="1"/>
      </rPr>
      <t>(</t>
    </r>
    <r>
      <rPr>
        <i/>
        <strike/>
        <sz val="12"/>
        <color rgb="FF002060"/>
        <rFont val="Times New Roman"/>
        <family val="1"/>
      </rPr>
      <t xml:space="preserve">5 points)  </t>
    </r>
    <r>
      <rPr>
        <strike/>
        <sz val="12"/>
        <color rgb="FF002060"/>
        <rFont val="Times New Roman"/>
        <family val="1"/>
      </rPr>
      <t>You are given:</t>
    </r>
  </si>
  <si>
    <r>
      <t>·</t>
    </r>
    <r>
      <rPr>
        <strike/>
        <sz val="7"/>
        <color rgb="FF002060"/>
        <rFont val="Times New Roman"/>
        <family val="1"/>
      </rPr>
      <t xml:space="preserve">       </t>
    </r>
    <r>
      <rPr>
        <strike/>
        <sz val="12"/>
        <color rgb="FF002060"/>
        <rFont val="Times New Roman"/>
        <family val="1"/>
      </rPr>
      <t>Cash flows occur at the end of the year</t>
    </r>
  </si>
  <si>
    <r>
      <t>·</t>
    </r>
    <r>
      <rPr>
        <strike/>
        <sz val="7"/>
        <color rgb="FF002060"/>
        <rFont val="Times New Roman"/>
        <family val="1"/>
      </rPr>
      <t xml:space="preserve">       </t>
    </r>
    <r>
      <rPr>
        <strike/>
        <sz val="12"/>
        <color rgb="FF002060"/>
        <rFont val="Times New Roman"/>
        <family val="1"/>
      </rPr>
      <t>PV Year 4+ includes cash flows in year 4 and later, discounted to the end of year 4</t>
    </r>
  </si>
  <si>
    <r>
      <t>·</t>
    </r>
    <r>
      <rPr>
        <strike/>
        <sz val="7"/>
        <color rgb="FF002060"/>
        <rFont val="Times New Roman"/>
        <family val="1"/>
      </rPr>
      <t xml:space="preserve">       </t>
    </r>
    <r>
      <rPr>
        <strike/>
        <sz val="12"/>
        <color rgb="FF002060"/>
        <rFont val="Times New Roman"/>
        <family val="1"/>
      </rPr>
      <t>The carrying amount of the liability at the transition date is 150</t>
    </r>
  </si>
  <si>
    <r>
      <t>·</t>
    </r>
    <r>
      <rPr>
        <strike/>
        <sz val="7"/>
        <color rgb="FF002060"/>
        <rFont val="Times New Roman"/>
        <family val="1"/>
      </rPr>
      <t xml:space="preserve">       </t>
    </r>
    <r>
      <rPr>
        <strike/>
        <sz val="12"/>
        <color rgb="FF002060"/>
        <rFont val="Times New Roman"/>
        <family val="1"/>
      </rPr>
      <t>The carryover discount rate is equal to the upper-medium grade spot rate of 3% for all maturities</t>
    </r>
  </si>
  <si>
    <r>
      <t>·</t>
    </r>
    <r>
      <rPr>
        <strike/>
        <sz val="7"/>
        <color rgb="FF002060"/>
        <rFont val="Times New Roman"/>
        <family val="1"/>
      </rPr>
      <t xml:space="preserve">       </t>
    </r>
    <r>
      <rPr>
        <strike/>
        <sz val="12"/>
        <color rgb="FF002060"/>
        <rFont val="Times New Roman"/>
        <family val="1"/>
      </rPr>
      <t>Transition date occurs at the beginning of year 1</t>
    </r>
  </si>
  <si>
    <r>
      <t>(i)</t>
    </r>
    <r>
      <rPr>
        <strike/>
        <sz val="7"/>
        <color rgb="FF002060"/>
        <rFont val="Times New Roman"/>
        <family val="1"/>
      </rPr>
      <t xml:space="preserve">             </t>
    </r>
    <r>
      <rPr>
        <strike/>
        <sz val="12"/>
        <color rgb="FF002060"/>
        <rFont val="Times New Roman"/>
        <family val="1"/>
      </rPr>
      <t>(</t>
    </r>
    <r>
      <rPr>
        <i/>
        <strike/>
        <sz val="12"/>
        <color rgb="FF002060"/>
        <rFont val="Times New Roman"/>
        <family val="1"/>
      </rPr>
      <t>3 points</t>
    </r>
    <r>
      <rPr>
        <strike/>
        <sz val="12"/>
        <color rgb="FF002060"/>
        <rFont val="Times New Roman"/>
        <family val="1"/>
      </rPr>
      <t xml:space="preserve">)  Calculate the liability for future policyholder benefits at the end of projection year 1 using the modified retrospective transition approach.  </t>
    </r>
  </si>
  <si>
    <r>
      <t>(ii)</t>
    </r>
    <r>
      <rPr>
        <strike/>
        <sz val="7"/>
        <color rgb="FF002060"/>
        <rFont val="Times New Roman"/>
        <family val="1"/>
      </rPr>
      <t xml:space="preserve">           </t>
    </r>
    <r>
      <rPr>
        <strike/>
        <sz val="12"/>
        <color rgb="FF002060"/>
        <rFont val="Times New Roman"/>
        <family val="1"/>
      </rPr>
      <t>(</t>
    </r>
    <r>
      <rPr>
        <i/>
        <strike/>
        <sz val="12"/>
        <color rgb="FF002060"/>
        <rFont val="Times New Roman"/>
        <family val="1"/>
      </rPr>
      <t xml:space="preserve">2 points)  </t>
    </r>
    <r>
      <rPr>
        <strike/>
        <sz val="12"/>
        <color rgb="FF002060"/>
        <rFont val="Times New Roman"/>
        <family val="1"/>
      </rPr>
      <t xml:space="preserve">Calculate the remeasurement gain/(loss) for year 2 assuming: </t>
    </r>
  </si>
  <si>
    <r>
      <t>·</t>
    </r>
    <r>
      <rPr>
        <strike/>
        <sz val="7"/>
        <color rgb="FF002060"/>
        <rFont val="Times New Roman"/>
        <family val="1"/>
      </rPr>
      <t xml:space="preserve">       </t>
    </r>
    <r>
      <rPr>
        <strike/>
        <sz val="12"/>
        <color rgb="FF002060"/>
        <rFont val="Times New Roman"/>
        <family val="1"/>
      </rPr>
      <t xml:space="preserve">Better than expected results during projection year 2 produce a net premium ratio of 67% </t>
    </r>
  </si>
  <si>
    <r>
      <t>·</t>
    </r>
    <r>
      <rPr>
        <strike/>
        <sz val="7"/>
        <color rgb="FF002060"/>
        <rFont val="Times New Roman"/>
        <family val="1"/>
      </rPr>
      <t xml:space="preserve">       </t>
    </r>
    <r>
      <rPr>
        <strike/>
        <sz val="12"/>
        <color rgb="FF002060"/>
        <rFont val="Times New Roman"/>
        <family val="1"/>
      </rPr>
      <t>Actual results align with expected for year 1</t>
    </r>
  </si>
  <si>
    <t>QUESTION 1 (c)</t>
  </si>
  <si>
    <t>Responses for parts (a), (b), and (d) are to be provided in the Word document.</t>
  </si>
  <si>
    <t>Response for part (c) is to be provided in this tab.</t>
  </si>
  <si>
    <r>
      <t>(</t>
    </r>
    <r>
      <rPr>
        <i/>
        <sz val="12"/>
        <color theme="1"/>
        <rFont val="Times New Roman"/>
        <family val="1"/>
      </rPr>
      <t>4 points</t>
    </r>
    <r>
      <rPr>
        <sz val="12"/>
        <color theme="1"/>
        <rFont val="Times New Roman"/>
        <family val="1"/>
      </rPr>
      <t>)  You are given the following information from Company B’s actuarial appraisal:</t>
    </r>
  </si>
  <si>
    <t>Year 4</t>
  </si>
  <si>
    <t>Year 5</t>
  </si>
  <si>
    <t>After tax earnings</t>
  </si>
  <si>
    <t>(inforce and future business)</t>
  </si>
  <si>
    <t>Required capital</t>
  </si>
  <si>
    <t>Adjusted book value</t>
  </si>
  <si>
    <t>40 </t>
  </si>
  <si>
    <t>Discount rate</t>
  </si>
  <si>
    <t>Before tax investment earnings rate on capital</t>
  </si>
  <si>
    <t xml:space="preserve">Tax rate </t>
  </si>
  <si>
    <t>Terminal valuations at end of Year 5</t>
  </si>
  <si>
    <t xml:space="preserve">   Net present value of after tax earnings for</t>
  </si>
  <si>
    <r>
      <t xml:space="preserve">   Years 6 and later (inforce and future business)</t>
    </r>
    <r>
      <rPr>
        <sz val="8"/>
        <color theme="1"/>
        <rFont val="Times New Roman"/>
        <family val="1"/>
      </rPr>
      <t> </t>
    </r>
  </si>
  <si>
    <r>
      <t xml:space="preserve">   Net present value of required capital charges for</t>
    </r>
    <r>
      <rPr>
        <sz val="8"/>
        <color theme="1"/>
        <rFont val="Times New Roman"/>
        <family val="1"/>
      </rPr>
      <t> </t>
    </r>
  </si>
  <si>
    <t xml:space="preserve">   Years 6 and later</t>
  </si>
  <si>
    <t>Calculate the actuarial appraisal value of Company B.  Show all work.</t>
  </si>
  <si>
    <t>QUESTION 3 (a)</t>
  </si>
  <si>
    <t>Response for part (b) is to be provided in the Word document.</t>
  </si>
  <si>
    <t>Responses for part (a)(i) and (a)(ii) are to be provided in this tab.</t>
  </si>
  <si>
    <r>
      <rPr>
        <sz val="7"/>
        <color theme="1"/>
        <rFont val="Times New Roman"/>
        <family val="1"/>
      </rPr>
      <t xml:space="preserve"> </t>
    </r>
    <r>
      <rPr>
        <sz val="12"/>
        <color theme="1"/>
        <rFont val="Times New Roman"/>
        <family val="1"/>
      </rPr>
      <t>You are given the following model output for a block of life insurance as of the valuation date:</t>
    </r>
  </si>
  <si>
    <t>PV With Margins</t>
  </si>
  <si>
    <t>Reinsurance Reserve Credit (with Margins)</t>
  </si>
  <si>
    <t>PV With No Margins</t>
  </si>
  <si>
    <t>Reinsurance Reserve Credit (without Margins)</t>
  </si>
  <si>
    <t>Scenario</t>
  </si>
  <si>
    <t>NPR</t>
  </si>
  <si>
    <t>COI</t>
  </si>
  <si>
    <t>Due &amp; Deferred Premium Asset</t>
  </si>
  <si>
    <t>Benefits</t>
  </si>
  <si>
    <t>Premiums</t>
  </si>
  <si>
    <t>Taxes</t>
  </si>
  <si>
    <t>Expenses</t>
  </si>
  <si>
    <t>Baseline</t>
  </si>
  <si>
    <t>Deterministic</t>
  </si>
  <si>
    <t>CTE70</t>
  </si>
  <si>
    <t>CTE90</t>
  </si>
  <si>
    <t>CTE95</t>
  </si>
  <si>
    <r>
      <t>(i)</t>
    </r>
    <r>
      <rPr>
        <sz val="7"/>
        <color theme="1"/>
        <rFont val="Times New Roman"/>
        <family val="1"/>
      </rPr>
      <t>  </t>
    </r>
    <r>
      <rPr>
        <sz val="12"/>
        <color theme="1"/>
        <rFont val="Times New Roman"/>
        <family val="1"/>
      </rPr>
      <t>(</t>
    </r>
    <r>
      <rPr>
        <i/>
        <sz val="12"/>
        <color theme="1"/>
        <rFont val="Times New Roman"/>
        <family val="1"/>
      </rPr>
      <t>5 points</t>
    </r>
    <r>
      <rPr>
        <sz val="12"/>
        <color theme="1"/>
        <rFont val="Times New Roman"/>
        <family val="1"/>
      </rPr>
      <t>)  Assess whether a Stochastic Reserve component is necessary for this block using the Stochastic Exclusion Ratio Test.  Show all work.</t>
    </r>
  </si>
  <si>
    <r>
      <t>(ii)</t>
    </r>
    <r>
      <rPr>
        <sz val="7"/>
        <color theme="1"/>
        <rFont val="Times New Roman"/>
        <family val="1"/>
      </rPr>
      <t>  </t>
    </r>
    <r>
      <rPr>
        <sz val="12"/>
        <color theme="1"/>
        <rFont val="Times New Roman"/>
        <family val="1"/>
      </rPr>
      <t>(</t>
    </r>
    <r>
      <rPr>
        <i/>
        <sz val="12"/>
        <color theme="1"/>
        <rFont val="Times New Roman"/>
        <family val="1"/>
      </rPr>
      <t>2 points</t>
    </r>
    <r>
      <rPr>
        <sz val="12"/>
        <color theme="1"/>
        <rFont val="Times New Roman"/>
        <family val="1"/>
      </rPr>
      <t>)  Calculate the minimum reserves required.  Show all work.</t>
    </r>
  </si>
  <si>
    <t>QUESTION 4 (b)</t>
  </si>
  <si>
    <t>Responses for parts (b)(i) and (b)(ii) are to be provided in this tab.</t>
  </si>
  <si>
    <t>Principal Amount</t>
  </si>
  <si>
    <t>Purchase Price</t>
  </si>
  <si>
    <t>Stated Interest Rate</t>
  </si>
  <si>
    <t>Principal Pay Down Schedule</t>
  </si>
  <si>
    <t>50,000 annually in years 5 to 14</t>
  </si>
  <si>
    <t>Timing of principal and interest payments</t>
  </si>
  <si>
    <t>End of year</t>
  </si>
  <si>
    <t>Asset Classification</t>
  </si>
  <si>
    <t>Held to maturity</t>
  </si>
  <si>
    <t xml:space="preserve">  </t>
  </si>
  <si>
    <t>Calculate the true-up to interest income in year 4.  Show all work.</t>
  </si>
  <si>
    <t>QUESTION 5 (a), (d), and (e)</t>
  </si>
  <si>
    <t>Responses for parts (b) and (c) are to be provided in the Word document.</t>
  </si>
  <si>
    <t>Responses for parts (a), (d), and (e) are to be provided in this tab.</t>
  </si>
  <si>
    <t>You are given the following for a single premium fixed deferred annuity that has a guaranteed living withdrawal benefit (GLWB) rider:</t>
  </si>
  <si>
    <r>
      <t>·</t>
    </r>
    <r>
      <rPr>
        <sz val="7"/>
        <color theme="1"/>
        <rFont val="Times New Roman"/>
        <family val="1"/>
      </rPr>
      <t xml:space="preserve">       </t>
    </r>
    <r>
      <rPr>
        <sz val="12"/>
        <color theme="1"/>
        <rFont val="Times New Roman"/>
        <family val="1"/>
      </rPr>
      <t xml:space="preserve">The death benefit is the current account value. </t>
    </r>
  </si>
  <si>
    <r>
      <t>·</t>
    </r>
    <r>
      <rPr>
        <sz val="7"/>
        <color theme="1"/>
        <rFont val="Times New Roman"/>
        <family val="1"/>
      </rPr>
      <t xml:space="preserve">       </t>
    </r>
    <r>
      <rPr>
        <sz val="12"/>
        <color theme="1"/>
        <rFont val="Times New Roman"/>
        <family val="1"/>
      </rPr>
      <t xml:space="preserve">No partial withdrawals are allowed outside of GLWB election. </t>
    </r>
  </si>
  <si>
    <r>
      <t>·</t>
    </r>
    <r>
      <rPr>
        <sz val="7"/>
        <color theme="1"/>
        <rFont val="Times New Roman"/>
        <family val="1"/>
      </rPr>
      <t xml:space="preserve">       </t>
    </r>
    <r>
      <rPr>
        <sz val="12"/>
        <color theme="1"/>
        <rFont val="Times New Roman"/>
        <family val="1"/>
      </rPr>
      <t xml:space="preserve">The GLWB amount is equal to the GLWB % times the account value at the beginning of the year of election. </t>
    </r>
  </si>
  <si>
    <r>
      <t>·</t>
    </r>
    <r>
      <rPr>
        <sz val="7"/>
        <color theme="1"/>
        <rFont val="Times New Roman"/>
        <family val="1"/>
      </rPr>
      <t xml:space="preserve">       </t>
    </r>
    <r>
      <rPr>
        <sz val="12"/>
        <color theme="1"/>
        <rFont val="Times New Roman"/>
        <family val="1"/>
      </rPr>
      <t xml:space="preserve">All GLWB payments are made at the end of the policy year. </t>
    </r>
  </si>
  <si>
    <r>
      <t>·</t>
    </r>
    <r>
      <rPr>
        <sz val="7"/>
        <color theme="1"/>
        <rFont val="Times New Roman"/>
        <family val="1"/>
      </rPr>
      <t xml:space="preserve">       </t>
    </r>
    <r>
      <rPr>
        <sz val="12"/>
        <color theme="1"/>
        <rFont val="Times New Roman"/>
        <family val="1"/>
      </rPr>
      <t xml:space="preserve">There are no policy fees for the rider.  </t>
    </r>
  </si>
  <si>
    <t>You are also given:</t>
  </si>
  <si>
    <t>Premium</t>
  </si>
  <si>
    <t>Interest Guarantee Period</t>
  </si>
  <si>
    <t>5 years</t>
  </si>
  <si>
    <t>Initial Interest Rate</t>
  </si>
  <si>
    <t>GLWB %</t>
  </si>
  <si>
    <t>Annual contract charge</t>
  </si>
  <si>
    <t>Valuation Rate – Elective Benefits</t>
  </si>
  <si>
    <t>Valuation Rate – Non-Elective Benefits</t>
  </si>
  <si>
    <t>Surrender Charges (as a percent of account value)</t>
  </si>
  <si>
    <t>First year: 6%</t>
  </si>
  <si>
    <t>Second year: 4%</t>
  </si>
  <si>
    <t>Third year: 3%</t>
  </si>
  <si>
    <t>Fourth year: 2%</t>
  </si>
  <si>
    <t>Fifth year: 1%</t>
  </si>
  <si>
    <r>
      <t>(a)</t>
    </r>
    <r>
      <rPr>
        <sz val="7"/>
        <color theme="1"/>
        <rFont val="Times New Roman"/>
        <family val="1"/>
      </rPr>
      <t> </t>
    </r>
    <r>
      <rPr>
        <sz val="12"/>
        <color theme="1"/>
        <rFont val="Times New Roman"/>
        <family val="1"/>
      </rPr>
      <t xml:space="preserve"> (</t>
    </r>
    <r>
      <rPr>
        <i/>
        <sz val="12"/>
        <color theme="1"/>
        <rFont val="Times New Roman"/>
        <family val="1"/>
      </rPr>
      <t>3 point</t>
    </r>
    <r>
      <rPr>
        <sz val="12"/>
        <color theme="1"/>
        <rFont val="Times New Roman"/>
        <family val="1"/>
      </rPr>
      <t>s)  You are given:</t>
    </r>
  </si>
  <si>
    <r>
      <t>·</t>
    </r>
    <r>
      <rPr>
        <sz val="7"/>
        <color theme="1"/>
        <rFont val="Times New Roman"/>
        <family val="1"/>
      </rPr>
      <t xml:space="preserve">       </t>
    </r>
    <r>
      <rPr>
        <sz val="12"/>
        <color theme="1"/>
        <rFont val="Times New Roman"/>
        <family val="1"/>
      </rPr>
      <t>5-year CMT rate is 2.00%</t>
    </r>
  </si>
  <si>
    <r>
      <t>·</t>
    </r>
    <r>
      <rPr>
        <sz val="7"/>
        <color theme="1"/>
        <rFont val="Times New Roman"/>
        <family val="1"/>
      </rPr>
      <t xml:space="preserve">       </t>
    </r>
    <r>
      <rPr>
        <sz val="12"/>
        <color theme="1"/>
        <rFont val="Times New Roman"/>
        <family val="1"/>
      </rPr>
      <t>No premium taxes</t>
    </r>
  </si>
  <si>
    <r>
      <t>·</t>
    </r>
    <r>
      <rPr>
        <sz val="7"/>
        <color theme="1"/>
        <rFont val="Times New Roman"/>
        <family val="1"/>
      </rPr>
      <t xml:space="preserve">       </t>
    </r>
    <r>
      <rPr>
        <sz val="12"/>
        <color theme="1"/>
        <rFont val="Times New Roman"/>
        <family val="1"/>
      </rPr>
      <t>The GLWB is elected in the first policy year</t>
    </r>
  </si>
  <si>
    <t>Calculate the NAIC nonforfeiture value for the first 5 years.  Show all work.</t>
  </si>
  <si>
    <r>
      <t>(d)  (</t>
    </r>
    <r>
      <rPr>
        <i/>
        <sz val="12"/>
        <color theme="1"/>
        <rFont val="Times New Roman"/>
        <family val="1"/>
      </rPr>
      <t>4 points</t>
    </r>
    <r>
      <rPr>
        <sz val="12"/>
        <color theme="1"/>
        <rFont val="Times New Roman"/>
        <family val="1"/>
      </rPr>
      <t>)  Calculate the maximum present value of each of the following 4 CARVM benefit streams individually over the first 5 years of the policy assuming no mortality:</t>
    </r>
  </si>
  <si>
    <r>
      <t>(i)</t>
    </r>
    <r>
      <rPr>
        <sz val="7"/>
        <color theme="1"/>
        <rFont val="Times New Roman"/>
        <family val="1"/>
      </rPr>
      <t xml:space="preserve">             </t>
    </r>
    <r>
      <rPr>
        <sz val="12"/>
        <color theme="1"/>
        <rFont val="Times New Roman"/>
        <family val="1"/>
      </rPr>
      <t>Surrender benefits assuming GLWB election in the first policy year</t>
    </r>
  </si>
  <si>
    <r>
      <t>(ii)</t>
    </r>
    <r>
      <rPr>
        <sz val="7"/>
        <color theme="1"/>
        <rFont val="Times New Roman"/>
        <family val="1"/>
      </rPr>
      <t xml:space="preserve">           </t>
    </r>
    <r>
      <rPr>
        <sz val="12"/>
        <color theme="1"/>
        <rFont val="Times New Roman"/>
        <family val="1"/>
      </rPr>
      <t>Surrender benefits assuming GLWB election in the fifth policy year</t>
    </r>
  </si>
  <si>
    <r>
      <t>(iii)</t>
    </r>
    <r>
      <rPr>
        <sz val="7"/>
        <color theme="1"/>
        <rFont val="Times New Roman"/>
        <family val="1"/>
      </rPr>
      <t xml:space="preserve">         </t>
    </r>
    <r>
      <rPr>
        <sz val="12"/>
        <color theme="1"/>
        <rFont val="Times New Roman"/>
        <family val="1"/>
      </rPr>
      <t>GLWB payment stream assuming election in the first policy year</t>
    </r>
  </si>
  <si>
    <r>
      <t>(iv)</t>
    </r>
    <r>
      <rPr>
        <sz val="7"/>
        <color theme="1"/>
        <rFont val="Times New Roman"/>
        <family val="1"/>
      </rPr>
      <t xml:space="preserve">          </t>
    </r>
    <r>
      <rPr>
        <sz val="12"/>
        <color theme="1"/>
        <rFont val="Times New Roman"/>
        <family val="1"/>
      </rPr>
      <t>GLWB payment stream assuming election in the fifth policy year</t>
    </r>
  </si>
  <si>
    <r>
      <t>(e)  (</t>
    </r>
    <r>
      <rPr>
        <i/>
        <sz val="12"/>
        <color theme="1"/>
        <rFont val="Times New Roman"/>
        <family val="1"/>
      </rPr>
      <t>2 points</t>
    </r>
    <r>
      <rPr>
        <sz val="12"/>
        <color theme="1"/>
        <rFont val="Times New Roman"/>
        <family val="1"/>
      </rPr>
      <t xml:space="preserve">)  Combine the 4 individual benefit streams in part (d) into 2 appropriately integrated benefit streams.  </t>
    </r>
  </si>
  <si>
    <t xml:space="preserve">Identify the election timing option which should be used to set the CARVM reserve.  Justify your answer. </t>
  </si>
  <si>
    <t>QUESTION 6 (a) and (b)</t>
  </si>
  <si>
    <t>Responses for part (c) are to be provided in the Word document.</t>
  </si>
  <si>
    <t>Responses for parts (a) and (b) are to be provided in this tab.</t>
  </si>
  <si>
    <r>
      <t>(a)  (</t>
    </r>
    <r>
      <rPr>
        <i/>
        <sz val="12"/>
        <color theme="1"/>
        <rFont val="Times New Roman"/>
        <family val="1"/>
      </rPr>
      <t>4 points</t>
    </r>
    <r>
      <rPr>
        <sz val="12"/>
        <color theme="1"/>
        <rFont val="Times New Roman"/>
        <family val="1"/>
      </rPr>
      <t>)  You are given the following information on a 5-year term policy that automatically expires after 5 years without a maturity benefit:</t>
    </r>
  </si>
  <si>
    <t>Issue date</t>
  </si>
  <si>
    <t>Face amount</t>
  </si>
  <si>
    <t>Valuation interest rate</t>
  </si>
  <si>
    <t>EA under FPT for a 20-pay limited-payment life contract</t>
  </si>
  <si>
    <t>Premium rate</t>
  </si>
  <si>
    <t>Valuation mortality rate</t>
  </si>
  <si>
    <t>Calculate the statutory reserve for this policy at 12/31/2017 assuming that premiums are paid at the beginning of the year and death benefits are paid at the end of the year.  Show all work.</t>
  </si>
  <si>
    <r>
      <t>(b)  (</t>
    </r>
    <r>
      <rPr>
        <i/>
        <sz val="12"/>
        <color theme="1"/>
        <rFont val="Times New Roman"/>
        <family val="1"/>
      </rPr>
      <t>2 points</t>
    </r>
    <r>
      <rPr>
        <sz val="12"/>
        <color theme="1"/>
        <rFont val="Times New Roman"/>
        <family val="1"/>
      </rPr>
      <t>)  You are given the following balances (in millions) as of 12/31/2018 on GHI’s entire block of term life policies:</t>
    </r>
  </si>
  <si>
    <t>Total Statutory Reserve</t>
  </si>
  <si>
    <t>Statutory Basic Reserve</t>
  </si>
  <si>
    <t>Statutory Deficiency Reserve</t>
  </si>
  <si>
    <t>Asset Adequacy Reserve</t>
  </si>
  <si>
    <t>Impact of Contract-Level Net Surrender Value Floor</t>
  </si>
  <si>
    <t>Calculate the tax reserve.  Show all work.</t>
  </si>
  <si>
    <t>QUESTION 8 (d)</t>
  </si>
  <si>
    <t>Responses for parts (a), (b), and (c) are to be provided in the Word document.</t>
  </si>
  <si>
    <t>Responses for parts (d)(i) and (d)(ii) are to be provided in this tab.</t>
  </si>
  <si>
    <r>
      <t>(d)</t>
    </r>
    <r>
      <rPr>
        <sz val="7"/>
        <color theme="1"/>
        <rFont val="Times New Roman"/>
        <family val="1"/>
      </rPr>
      <t>   </t>
    </r>
    <r>
      <rPr>
        <sz val="12"/>
        <color theme="1"/>
        <rFont val="Times New Roman"/>
        <family val="1"/>
      </rPr>
      <t xml:space="preserve">MSP Life is a U.S. life insurance company.  MSP’s inforce block consists of ordinary whole life insurance and individual fixed deferred annuities.  </t>
    </r>
  </si>
  <si>
    <t>Some of the annuities allow the contract holder to withdraw funds at book value with no surrender charge, whereas the rest of the annuities apply a market value adjustment to withdrawals.</t>
  </si>
  <si>
    <t>You are given the following RBC information for MSP (in millions):</t>
  </si>
  <si>
    <t>Asset Risk Affiliated</t>
  </si>
  <si>
    <t>Asset Risk Unaffiliated</t>
  </si>
  <si>
    <t>Asset Risk Other</t>
  </si>
  <si>
    <t>Amount of insurance inforce for ordinary life</t>
  </si>
  <si>
    <t>Reserves for ordinary life</t>
  </si>
  <si>
    <t>Reserves for annuity contracts with a</t>
  </si>
  <si>
    <t>market value adjustment</t>
  </si>
  <si>
    <t>book value withdrawal and no surrender charge</t>
  </si>
  <si>
    <t>Business Risk</t>
  </si>
  <si>
    <t>Total Adjusted Capital (TAC)</t>
  </si>
  <si>
    <t>Policy loans</t>
  </si>
  <si>
    <t>Authorized Control Level (ACL) RBC formula:</t>
  </si>
  <si>
    <t>Insurance Risk</t>
  </si>
  <si>
    <t>Net Amount at Risk</t>
  </si>
  <si>
    <t>RBC Factor</t>
  </si>
  <si>
    <t>First 500 million</t>
  </si>
  <si>
    <t>Next 4,500 million</t>
  </si>
  <si>
    <t>Next 20,000 million</t>
  </si>
  <si>
    <t>Over 25,000 million</t>
  </si>
  <si>
    <t>Interest Rate Risk</t>
  </si>
  <si>
    <t>Risk Category</t>
  </si>
  <si>
    <t>Low</t>
  </si>
  <si>
    <t>Medium</t>
  </si>
  <si>
    <t>High</t>
  </si>
  <si>
    <r>
      <t>(i)</t>
    </r>
    <r>
      <rPr>
        <sz val="7"/>
        <color theme="1"/>
        <rFont val="Times New Roman"/>
        <family val="1"/>
      </rPr>
      <t xml:space="preserve">  </t>
    </r>
    <r>
      <rPr>
        <sz val="12"/>
        <color theme="1"/>
        <rFont val="Times New Roman"/>
        <family val="1"/>
      </rPr>
      <t>(</t>
    </r>
    <r>
      <rPr>
        <i/>
        <sz val="12"/>
        <color theme="1"/>
        <rFont val="Times New Roman"/>
        <family val="1"/>
      </rPr>
      <t>5 points</t>
    </r>
    <r>
      <rPr>
        <sz val="12"/>
        <color theme="1"/>
        <rFont val="Times New Roman"/>
        <family val="1"/>
      </rPr>
      <t>)  Calculate the ACL RBC for MSP.  Show all work.</t>
    </r>
  </si>
  <si>
    <r>
      <t>(ii)</t>
    </r>
    <r>
      <rPr>
        <sz val="7"/>
        <color theme="1"/>
        <rFont val="Times New Roman"/>
        <family val="1"/>
      </rPr>
      <t xml:space="preserve"> </t>
    </r>
    <r>
      <rPr>
        <sz val="12"/>
        <color theme="1"/>
        <rFont val="Times New Roman"/>
        <family val="1"/>
      </rPr>
      <t>(</t>
    </r>
    <r>
      <rPr>
        <i/>
        <sz val="12"/>
        <color theme="1"/>
        <rFont val="Times New Roman"/>
        <family val="1"/>
      </rPr>
      <t>1 point</t>
    </r>
    <r>
      <rPr>
        <sz val="12"/>
        <color theme="1"/>
        <rFont val="Times New Roman"/>
        <family val="1"/>
      </rPr>
      <t>)  Describe the regulatory action triggered by MSP’s RBC ratio.  Show all work.</t>
    </r>
  </si>
  <si>
    <t>QUESTION 9 (b)(i) and (ii)</t>
  </si>
  <si>
    <t>Responses for parts (a), (b)(iii), and (c) are to be provided in the Word document.</t>
  </si>
  <si>
    <r>
      <t>(b)</t>
    </r>
    <r>
      <rPr>
        <sz val="7"/>
        <color theme="1"/>
        <rFont val="Times New Roman"/>
        <family val="1"/>
      </rPr>
      <t>   </t>
    </r>
    <r>
      <rPr>
        <sz val="12"/>
        <color theme="1"/>
        <rFont val="Times New Roman"/>
        <family val="1"/>
      </rPr>
      <t xml:space="preserve">You are given the following information for the acquired business at the time of acquisition: </t>
    </r>
  </si>
  <si>
    <t>(in millions)</t>
  </si>
  <si>
    <t>Actuarial appraisal</t>
  </si>
  <si>
    <t xml:space="preserve">     Adjusted book value (ABV)</t>
  </si>
  <si>
    <t xml:space="preserve">     Value of Future Business Capacity (VFBC)</t>
  </si>
  <si>
    <t xml:space="preserve">     Total Actuarial Appraisal Value (TAAV)</t>
  </si>
  <si>
    <t>GAAP benefit reserve based on best estimate assumptions at issue plus PAD (GBRI)</t>
  </si>
  <si>
    <t>GAAP benefit reserve based on best estimate assumptions at acquisition plus PAD (GBRA)</t>
  </si>
  <si>
    <t>Statutory reserve (SR)</t>
  </si>
  <si>
    <t>GAAP deferred tax liability excluding the impact of income tax on the VOBA asset (DTLX)</t>
  </si>
  <si>
    <t>Tax rate (TR) is 21%</t>
  </si>
  <si>
    <r>
      <t>(i)  (</t>
    </r>
    <r>
      <rPr>
        <i/>
        <sz val="12"/>
        <color theme="1"/>
        <rFont val="Times New Roman"/>
        <family val="1"/>
      </rPr>
      <t>2 points</t>
    </r>
    <r>
      <rPr>
        <sz val="12"/>
        <color theme="1"/>
        <rFont val="Times New Roman"/>
        <family val="1"/>
      </rPr>
      <t>)  Calculate the initial VOBA asset.  Show all work.</t>
    </r>
  </si>
  <si>
    <r>
      <t>(ii)  (</t>
    </r>
    <r>
      <rPr>
        <i/>
        <sz val="12"/>
        <color theme="1"/>
        <rFont val="Times New Roman"/>
        <family val="1"/>
      </rPr>
      <t>1 point</t>
    </r>
    <r>
      <rPr>
        <sz val="12"/>
        <color theme="1"/>
        <rFont val="Times New Roman"/>
        <family val="1"/>
      </rPr>
      <t>)  Calculate the initial GAAP deferred tax liability.  Show all work.</t>
    </r>
  </si>
  <si>
    <t>QUESTION 10 (b)</t>
  </si>
  <si>
    <t>Responses for part (a) are to be provided in the Word document.</t>
  </si>
  <si>
    <r>
      <t>(b)  (</t>
    </r>
    <r>
      <rPr>
        <i/>
        <sz val="12"/>
        <color theme="1"/>
        <rFont val="Times New Roman"/>
        <family val="1"/>
      </rPr>
      <t>5 points</t>
    </r>
    <r>
      <rPr>
        <sz val="12"/>
        <color theme="1"/>
        <rFont val="Times New Roman"/>
        <family val="1"/>
      </rPr>
      <t xml:space="preserve">)  For a single premium variable deferred annuity with a Guaranteed Minimum Withdrawal Benefit (GMWB), the only fees charged are the M&amp;E fees.  </t>
    </r>
  </si>
  <si>
    <t xml:space="preserve">  XYZ decided to use the non-option method to value the Market Risk Benefit (MRB) for the GMWB. </t>
  </si>
  <si>
    <t>You are given the following risk-neutral scenario projections for a single policy:</t>
  </si>
  <si>
    <t>Projection date: At-issue</t>
  </si>
  <si>
    <t xml:space="preserve">Projection date: 1 year after issue, </t>
  </si>
  <si>
    <t>Discount rates: risk-neutral interest rates plus the instrument specific credit risk</t>
  </si>
  <si>
    <t>Discount rates: updated risk-neutral interest rates plus the at-issue instrument specific credit risk</t>
  </si>
  <si>
    <t>Discount rates: updated risk-neutral interest rates plus updated instrument specific credit risk</t>
  </si>
  <si>
    <t>PV of M&amp;E Fees</t>
  </si>
  <si>
    <t>PV Of GMWB Excess Benefits</t>
  </si>
  <si>
    <t xml:space="preserve">       </t>
  </si>
  <si>
    <r>
      <t>(i)</t>
    </r>
    <r>
      <rPr>
        <sz val="7"/>
        <color theme="1"/>
        <rFont val="Times New Roman"/>
        <family val="1"/>
      </rPr>
      <t xml:space="preserve">             </t>
    </r>
    <r>
      <rPr>
        <sz val="12"/>
        <color theme="1"/>
        <rFont val="Times New Roman"/>
        <family val="1"/>
      </rPr>
      <t>Calculate the MRB fair value 1 year after issue.  Show all work.</t>
    </r>
  </si>
  <si>
    <r>
      <t>(ii)</t>
    </r>
    <r>
      <rPr>
        <sz val="7"/>
        <color theme="1"/>
        <rFont val="Times New Roman"/>
        <family val="1"/>
      </rPr>
      <t xml:space="preserve">           </t>
    </r>
    <r>
      <rPr>
        <sz val="12"/>
        <color theme="1"/>
        <rFont val="Times New Roman"/>
        <family val="1"/>
      </rPr>
      <t>Calculate the amount recognized in Other Comprehensive Income (OCI) in the first year of the policy.  Show all work.</t>
    </r>
  </si>
  <si>
    <t>QUESTION 2 (a), (b)</t>
  </si>
  <si>
    <t xml:space="preserve">PCLC Life Insurance Company is currently an A-rated company by S&amp;P. </t>
  </si>
  <si>
    <t xml:space="preserve">The company has recently implemented economic capital models in order to explore the implications of various capital levels on multiple key business objectives. </t>
  </si>
  <si>
    <t>The following information is provided:</t>
  </si>
  <si>
    <t>Risk threshold by financial variables</t>
  </si>
  <si>
    <t>Financial Variable</t>
  </si>
  <si>
    <t>Risk Threshold-Name</t>
  </si>
  <si>
    <t>Risk Threshold-Quantity</t>
  </si>
  <si>
    <t>Company Rating</t>
  </si>
  <si>
    <t>RBC Ratio</t>
  </si>
  <si>
    <t>Default</t>
  </si>
  <si>
    <t>100% of authorized level</t>
  </si>
  <si>
    <t xml:space="preserve"> D or Below</t>
  </si>
  <si>
    <t>S&amp;P Capital Adequacy Ratio (CAR)</t>
  </si>
  <si>
    <t>One-Notch Downgrade</t>
  </si>
  <si>
    <t>BB or Below</t>
  </si>
  <si>
    <t>Simulated capital information</t>
  </si>
  <si>
    <t>RBC Default</t>
  </si>
  <si>
    <t>S&amp;P CAR</t>
  </si>
  <si>
    <t>Probability of One-Notch downgrade or default over 1 year</t>
  </si>
  <si>
    <t>Value at Risk (VaR) of RBC or S&amp;P CAR</t>
  </si>
  <si>
    <t>Mean of risk capital</t>
  </si>
  <si>
    <t>Annual Discount Rate</t>
  </si>
  <si>
    <r>
      <t>(a)</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xml:space="preserve">)  Calculate the amount of RBC and S&amp;P capital available for release for year 1.  Show all work. </t>
    </r>
  </si>
  <si>
    <r>
      <t>(b)</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You are given the following additional capital information:</t>
    </r>
  </si>
  <si>
    <r>
      <t>·</t>
    </r>
    <r>
      <rPr>
        <sz val="7"/>
        <color theme="1"/>
        <rFont val="Times New Roman"/>
        <family val="1"/>
      </rPr>
      <t xml:space="preserve">         </t>
    </r>
    <r>
      <rPr>
        <sz val="12"/>
        <color theme="1"/>
        <rFont val="Times New Roman"/>
        <family val="1"/>
      </rPr>
      <t>Capital available for release based on the current economic capital model with VaR 99.5 over 1 year: 400,000</t>
    </r>
  </si>
  <si>
    <t>Capital available for release in year 2</t>
  </si>
  <si>
    <t>RBC (Default)</t>
  </si>
  <si>
    <t>S&amp;P CAR (Downgrade)</t>
  </si>
  <si>
    <t xml:space="preserve">Contrast the difference between PCLC’s results when using the economic capital method versus the multi-objective approach.  </t>
  </si>
  <si>
    <t>QUESTION 3 (a), (c), (d)</t>
  </si>
  <si>
    <t>Responses for part (b) are to be provided in the Word document.</t>
  </si>
  <si>
    <t>Responses for parts (a), (c) and (d) are to be provided in this tab.</t>
  </si>
  <si>
    <t xml:space="preserve">XBM Insurance Company sells guaranteed investment contracts (GICs).  </t>
  </si>
  <si>
    <t>You are given:</t>
  </si>
  <si>
    <r>
      <t>·</t>
    </r>
    <r>
      <rPr>
        <sz val="7"/>
        <color theme="1"/>
        <rFont val="Times New Roman"/>
        <family val="1"/>
      </rPr>
      <t xml:space="preserve">         </t>
    </r>
    <r>
      <rPr>
        <sz val="12"/>
        <color theme="1"/>
        <rFont val="Times New Roman"/>
        <family val="1"/>
      </rPr>
      <t>XBM’s GICs are fixed rate contracts with no withdrawal benefits before maturity</t>
    </r>
  </si>
  <si>
    <r>
      <t>·</t>
    </r>
    <r>
      <rPr>
        <sz val="7"/>
        <color theme="1"/>
        <rFont val="Times New Roman"/>
        <family val="1"/>
      </rPr>
      <t xml:space="preserve">         </t>
    </r>
    <r>
      <rPr>
        <sz val="12"/>
        <color theme="1"/>
        <rFont val="Times New Roman"/>
        <family val="1"/>
      </rPr>
      <t>Their corporate bond portfolio includes 1,000 different bonds that were issued by 500 different issuers.</t>
    </r>
  </si>
  <si>
    <t>RBC size factors:</t>
  </si>
  <si>
    <t>Issuers</t>
  </si>
  <si>
    <r>
      <t>Size Factors</t>
    </r>
    <r>
      <rPr>
        <sz val="8"/>
        <color theme="1"/>
        <rFont val="Times New Roman"/>
        <family val="1"/>
      </rPr>
      <t> </t>
    </r>
  </si>
  <si>
    <t>First 50</t>
  </si>
  <si>
    <t>Next 50</t>
  </si>
  <si>
    <t>Next 300</t>
  </si>
  <si>
    <t>Over 400</t>
  </si>
  <si>
    <r>
      <t>(a)</t>
    </r>
    <r>
      <rPr>
        <sz val="7"/>
        <color theme="1"/>
        <rFont val="Times New Roman"/>
        <family val="1"/>
      </rPr>
      <t xml:space="preserve">               </t>
    </r>
    <r>
      <rPr>
        <sz val="12"/>
        <color theme="1"/>
        <rFont val="Times New Roman"/>
        <family val="1"/>
      </rPr>
      <t>(</t>
    </r>
    <r>
      <rPr>
        <i/>
        <sz val="12"/>
        <color theme="1"/>
        <rFont val="Times New Roman"/>
        <family val="1"/>
      </rPr>
      <t>1 point</t>
    </r>
    <r>
      <rPr>
        <sz val="12"/>
        <color theme="1"/>
        <rFont val="Times New Roman"/>
        <family val="1"/>
      </rPr>
      <t>)  Calculate the risk-based capital (RBC) weighted size factor for XBM’s bond portfolio.  Show all work.</t>
    </r>
  </si>
  <si>
    <r>
      <t>(c)</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xml:space="preserve">)  For a particular scenario for C-3 Cash Flow Testing, you are given annual projected surplus results and </t>
    </r>
  </si>
  <si>
    <t>the projected one-year Treasury rates for that scenario.  Assume a 21% tax rate.</t>
  </si>
  <si>
    <t>t</t>
  </si>
  <si>
    <t>Surplus(t)</t>
  </si>
  <si>
    <t>Treasury(t)</t>
  </si>
  <si>
    <r>
      <t xml:space="preserve">Calculate the scenario-specific C-3 </t>
    </r>
    <r>
      <rPr>
        <sz val="8"/>
        <color theme="1"/>
        <rFont val="Times New Roman"/>
        <family val="1"/>
      </rPr>
      <t> </t>
    </r>
    <r>
      <rPr>
        <sz val="12"/>
        <color theme="1"/>
        <rFont val="Times New Roman"/>
        <family val="1"/>
      </rPr>
      <t xml:space="preserve">measure.  Show all work. </t>
    </r>
  </si>
  <si>
    <r>
      <t>(d)</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You are given the following items from XBM’s balance sheet:</t>
    </r>
  </si>
  <si>
    <r>
      <t>·</t>
    </r>
    <r>
      <rPr>
        <sz val="7"/>
        <color theme="1"/>
        <rFont val="Times New Roman"/>
        <family val="1"/>
      </rPr>
      <t xml:space="preserve">         </t>
    </r>
    <r>
      <rPr>
        <sz val="12"/>
        <color theme="1"/>
        <rFont val="Times New Roman"/>
        <family val="1"/>
      </rPr>
      <t>The investment portfolio is 2,000</t>
    </r>
  </si>
  <si>
    <r>
      <t>·</t>
    </r>
    <r>
      <rPr>
        <sz val="7"/>
        <color theme="1"/>
        <rFont val="Times New Roman"/>
        <family val="1"/>
      </rPr>
      <t xml:space="preserve">         </t>
    </r>
    <r>
      <rPr>
        <sz val="12"/>
        <color theme="1"/>
        <rFont val="Times New Roman"/>
        <family val="1"/>
      </rPr>
      <t>GIC Liability is 990</t>
    </r>
  </si>
  <si>
    <r>
      <t>·</t>
    </r>
    <r>
      <rPr>
        <sz val="7"/>
        <color theme="1"/>
        <rFont val="Times New Roman"/>
        <family val="1"/>
      </rPr>
      <t xml:space="preserve">         </t>
    </r>
    <r>
      <rPr>
        <sz val="12"/>
        <color theme="1"/>
        <rFont val="Times New Roman"/>
        <family val="1"/>
      </rPr>
      <t>Debt issued is 950</t>
    </r>
  </si>
  <si>
    <r>
      <t>·</t>
    </r>
    <r>
      <rPr>
        <sz val="7"/>
        <color theme="1"/>
        <rFont val="Times New Roman"/>
        <family val="1"/>
      </rPr>
      <t xml:space="preserve">         </t>
    </r>
    <r>
      <rPr>
        <sz val="12"/>
        <color theme="1"/>
        <rFont val="Times New Roman"/>
        <family val="1"/>
      </rPr>
      <t>Total assets are 2,000</t>
    </r>
  </si>
  <si>
    <r>
      <t>·</t>
    </r>
    <r>
      <rPr>
        <sz val="7"/>
        <color theme="1"/>
        <rFont val="Times New Roman"/>
        <family val="1"/>
      </rPr>
      <t xml:space="preserve">         </t>
    </r>
    <r>
      <rPr>
        <sz val="12"/>
        <color theme="1"/>
        <rFont val="Times New Roman"/>
        <family val="1"/>
      </rPr>
      <t>Par amounts for both the GIC liability and the debt issued are 1,000 each</t>
    </r>
  </si>
  <si>
    <r>
      <t>·</t>
    </r>
    <r>
      <rPr>
        <sz val="7"/>
        <color theme="1"/>
        <rFont val="Times New Roman"/>
        <family val="1"/>
      </rPr>
      <t xml:space="preserve">         </t>
    </r>
    <r>
      <rPr>
        <sz val="12"/>
        <color theme="1"/>
        <rFont val="Times New Roman"/>
        <family val="1"/>
      </rPr>
      <t>The risk capital associated with the investment portfolio is 200</t>
    </r>
  </si>
  <si>
    <t xml:space="preserve">Construct the risk-capital balance sheet. </t>
  </si>
  <si>
    <t>QUESTION 4 (a) and (b)</t>
  </si>
  <si>
    <t>Net surrender value</t>
  </si>
  <si>
    <t>Separate account reserve under Section 817 of the Internal Revenue Code</t>
  </si>
  <si>
    <t>Amount determined using the tax reserve method otherwise applicable to the contract</t>
  </si>
  <si>
    <t>Statutory reserve excluding the deficiency reserve</t>
  </si>
  <si>
    <t>Statutory deficiency reserve</t>
  </si>
  <si>
    <t>Calculate the deduction for the increase in reserves on the 2020 tax return.  Show all work.</t>
  </si>
  <si>
    <r>
      <t>(b)</t>
    </r>
    <r>
      <rPr>
        <sz val="7"/>
        <color theme="1"/>
        <rFont val="Times New Roman"/>
        <family val="1"/>
      </rPr>
      <t xml:space="preserve">               </t>
    </r>
    <r>
      <rPr>
        <sz val="12"/>
        <color theme="1"/>
        <rFont val="Times New Roman"/>
        <family val="1"/>
      </rPr>
      <t>(</t>
    </r>
    <r>
      <rPr>
        <i/>
        <sz val="12"/>
        <color theme="1"/>
        <rFont val="Times New Roman"/>
        <family val="1"/>
      </rPr>
      <t>6 points</t>
    </r>
    <r>
      <rPr>
        <sz val="12"/>
        <color theme="1"/>
        <rFont val="Times New Roman"/>
        <family val="1"/>
      </rPr>
      <t xml:space="preserve">)  QRS Life is a U.S. life insurance company.  </t>
    </r>
  </si>
  <si>
    <t>You are given the following information for a block of level premium term life policies issued by QRS at the beginning of 2022:</t>
  </si>
  <si>
    <r>
      <t>·</t>
    </r>
    <r>
      <rPr>
        <sz val="7"/>
        <color theme="1"/>
        <rFont val="Times New Roman"/>
        <family val="1"/>
      </rPr>
      <t xml:space="preserve">         </t>
    </r>
    <r>
      <rPr>
        <sz val="12"/>
        <color theme="1"/>
        <rFont val="Times New Roman"/>
        <family val="1"/>
      </rPr>
      <t>Projected values</t>
    </r>
  </si>
  <si>
    <t>Year</t>
  </si>
  <si>
    <t xml:space="preserve">Insurance In Force </t>
  </si>
  <si>
    <t>at Beginning of Year</t>
  </si>
  <si>
    <t>⋮</t>
  </si>
  <si>
    <t>Total</t>
  </si>
  <si>
    <r>
      <t>·</t>
    </r>
    <r>
      <rPr>
        <sz val="7"/>
        <color theme="1"/>
        <rFont val="Times New Roman"/>
        <family val="1"/>
      </rPr>
      <t xml:space="preserve">         </t>
    </r>
    <r>
      <rPr>
        <sz val="12"/>
        <color theme="1"/>
        <rFont val="Times New Roman"/>
        <family val="1"/>
      </rPr>
      <t>First year commission:  15% of premium</t>
    </r>
  </si>
  <si>
    <r>
      <t>·</t>
    </r>
    <r>
      <rPr>
        <sz val="7"/>
        <color theme="1"/>
        <rFont val="Times New Roman"/>
        <family val="1"/>
      </rPr>
      <t xml:space="preserve">         </t>
    </r>
    <r>
      <rPr>
        <sz val="12"/>
        <color theme="1"/>
        <rFont val="Times New Roman"/>
        <family val="1"/>
      </rPr>
      <t>Renewal year commission:  3% of premium</t>
    </r>
  </si>
  <si>
    <r>
      <t>·</t>
    </r>
    <r>
      <rPr>
        <sz val="7"/>
        <color theme="1"/>
        <rFont val="Times New Roman"/>
        <family val="1"/>
      </rPr>
      <t xml:space="preserve">         </t>
    </r>
    <r>
      <rPr>
        <sz val="12"/>
        <color theme="1"/>
        <rFont val="Times New Roman"/>
        <family val="1"/>
      </rPr>
      <t>All other expenses are a level percentage of premium</t>
    </r>
  </si>
  <si>
    <r>
      <t>·</t>
    </r>
    <r>
      <rPr>
        <sz val="7"/>
        <color theme="1"/>
        <rFont val="Times New Roman"/>
        <family val="1"/>
      </rPr>
      <t xml:space="preserve">         </t>
    </r>
    <r>
      <rPr>
        <sz val="12"/>
        <color theme="1"/>
        <rFont val="Times New Roman"/>
        <family val="1"/>
      </rPr>
      <t xml:space="preserve">QRS has adopted Long-Duration Targeted Improvements (LDTI) for GAAP and has elected the amount of insurance in force </t>
    </r>
  </si>
  <si>
    <t>as the constant level basis for amortizing deferred acquisition costs over the life of the contracts</t>
  </si>
  <si>
    <r>
      <t>·</t>
    </r>
    <r>
      <rPr>
        <sz val="7"/>
        <color theme="1"/>
        <rFont val="Times New Roman"/>
        <family val="1"/>
      </rPr>
      <t xml:space="preserve">         </t>
    </r>
    <r>
      <rPr>
        <sz val="12"/>
        <color theme="1"/>
        <rFont val="Times New Roman"/>
        <family val="1"/>
      </rPr>
      <t>QRS is a calendar year taxpayer and has more than 15 million of specified policy acquisition expenses each year</t>
    </r>
  </si>
  <si>
    <r>
      <t>(i)</t>
    </r>
    <r>
      <rPr>
        <sz val="7"/>
        <color theme="1"/>
        <rFont val="Times New Roman"/>
        <family val="1"/>
      </rPr>
      <t xml:space="preserve">                 </t>
    </r>
    <r>
      <rPr>
        <sz val="12"/>
        <color theme="1"/>
        <rFont val="Times New Roman"/>
        <family val="1"/>
      </rPr>
      <t>Calculate the expected amount of GAAP DAC amortization in 2023.  Show all work.</t>
    </r>
  </si>
  <si>
    <r>
      <t>(ii)</t>
    </r>
    <r>
      <rPr>
        <sz val="7"/>
        <color theme="1"/>
        <rFont val="Times New Roman"/>
        <family val="1"/>
      </rPr>
      <t xml:space="preserve">                 </t>
    </r>
    <r>
      <rPr>
        <sz val="12"/>
        <color theme="1"/>
        <rFont val="Times New Roman"/>
        <family val="1"/>
      </rPr>
      <t>Calculate the expected amount of DAC Tax amortization in 2023.  Show all work.</t>
    </r>
  </si>
  <si>
    <t>Responses for part (b) and (c) are to be provided in the Word document.</t>
  </si>
  <si>
    <t>Responses for part (a) are to be provided in this tab.</t>
  </si>
  <si>
    <r>
      <t>(a)</t>
    </r>
    <r>
      <rPr>
        <sz val="7"/>
        <color theme="1"/>
        <rFont val="Times New Roman"/>
        <family val="1"/>
      </rPr>
      <t xml:space="preserve">               </t>
    </r>
    <r>
      <rPr>
        <sz val="12"/>
        <color theme="1"/>
        <rFont val="Times New Roman"/>
        <family val="1"/>
      </rPr>
      <t>(</t>
    </r>
    <r>
      <rPr>
        <i/>
        <sz val="12"/>
        <color theme="1"/>
        <rFont val="Times New Roman"/>
        <family val="1"/>
      </rPr>
      <t>6 points</t>
    </r>
    <r>
      <rPr>
        <sz val="12"/>
        <color theme="1"/>
        <rFont val="Times New Roman"/>
        <family val="1"/>
      </rPr>
      <t>)  You are given the following for an indexed universal life insurance policy issued on 12/31/2016:</t>
    </r>
  </si>
  <si>
    <t>Participation Rate (PR)</t>
  </si>
  <si>
    <t>Participation Cap (PC)</t>
  </si>
  <si>
    <t>Participation Floor (PF)</t>
  </si>
  <si>
    <t>Participation Margin (PM)</t>
  </si>
  <si>
    <t>Option cost on</t>
  </si>
  <si>
    <r>
      <t>the issue date (</t>
    </r>
    <r>
      <rPr>
        <sz val="12"/>
        <color theme="1"/>
        <rFont val="Times New Roman"/>
        <family val="1"/>
      </rPr>
      <t>expressed as a percentage of the indexed portion of the fund value</t>
    </r>
    <r>
      <rPr>
        <b/>
        <sz val="12"/>
        <color theme="1"/>
        <rFont val="Times New Roman"/>
        <family val="1"/>
      </rPr>
      <t xml:space="preserve">) </t>
    </r>
  </si>
  <si>
    <r>
      <t xml:space="preserve">Historical moving average option cost </t>
    </r>
    <r>
      <rPr>
        <sz val="12"/>
        <color theme="1"/>
        <rFont val="Times New Roman"/>
        <family val="1"/>
      </rPr>
      <t>(expressed as a percentage of the indexed portion of the fund value)</t>
    </r>
  </si>
  <si>
    <t>Statutory valuation interest rate</t>
  </si>
  <si>
    <t>Actuarial Guideline 36 reserve method</t>
  </si>
  <si>
    <t>Implied Guaranteed Rate Method (IGRM)</t>
  </si>
  <si>
    <t>The S&amp;P 500 Index had the following values on the shown dates:</t>
  </si>
  <si>
    <t>Maximum between 12/31/2016 and 12/31/2019</t>
  </si>
  <si>
    <t>Minimum between 12/31/2016 and 12/31/2019</t>
  </si>
  <si>
    <t>Calculate the following rates to be applied to the indexed portion of the fund balance:</t>
  </si>
  <si>
    <r>
      <t>(i)</t>
    </r>
    <r>
      <rPr>
        <sz val="7"/>
        <color theme="1"/>
        <rFont val="Times New Roman"/>
        <family val="1"/>
      </rPr>
      <t xml:space="preserve">                 </t>
    </r>
    <r>
      <rPr>
        <sz val="12"/>
        <color theme="1"/>
        <rFont val="Times New Roman"/>
        <family val="1"/>
      </rPr>
      <t>Indexed credited interest rate applied at the end of 2019 using the Point-to-Point Method with a 3 year participation period.</t>
    </r>
  </si>
  <si>
    <r>
      <t>(ii)</t>
    </r>
    <r>
      <rPr>
        <sz val="7"/>
        <color theme="1"/>
        <rFont val="Times New Roman"/>
        <family val="1"/>
      </rPr>
      <t xml:space="preserve">              </t>
    </r>
    <r>
      <rPr>
        <sz val="12"/>
        <color theme="1"/>
        <rFont val="Times New Roman"/>
        <family val="1"/>
      </rPr>
      <t>Indexed credited interest rate applied at the end of 2019 using the High-Water Mark Method with a 3 year participation period.</t>
    </r>
  </si>
  <si>
    <r>
      <t>(iii)</t>
    </r>
    <r>
      <rPr>
        <sz val="7"/>
        <color theme="1"/>
        <rFont val="Times New Roman"/>
        <family val="1"/>
      </rPr>
      <t xml:space="preserve">            </t>
    </r>
    <r>
      <rPr>
        <sz val="12"/>
        <color theme="1"/>
        <rFont val="Times New Roman"/>
        <family val="1"/>
      </rPr>
      <t>Indexed credited interest rate applied during the initial participation period in the calculation of the guaranteed maturity fund values</t>
    </r>
  </si>
  <si>
    <r>
      <t>(iv)</t>
    </r>
    <r>
      <rPr>
        <sz val="7"/>
        <color theme="1"/>
        <rFont val="Times New Roman"/>
        <family val="1"/>
      </rPr>
      <t xml:space="preserve">             </t>
    </r>
    <r>
      <rPr>
        <sz val="12"/>
        <color theme="1"/>
        <rFont val="Times New Roman"/>
        <family val="1"/>
      </rPr>
      <t>Indexed credited interest rate applied after the initial participation period in the calculation of the guaranteed maturity fund values</t>
    </r>
  </si>
  <si>
    <t>QUESTION 6 (a)</t>
  </si>
  <si>
    <t>You are given the following negotiated terms and assumptions about a level premium non-participating whole life insurance product to be reinsured:</t>
  </si>
  <si>
    <r>
      <t>·</t>
    </r>
    <r>
      <rPr>
        <sz val="7"/>
        <color theme="1"/>
        <rFont val="Times New Roman"/>
        <family val="1"/>
      </rPr>
      <t xml:space="preserve">         </t>
    </r>
    <r>
      <rPr>
        <sz val="12"/>
        <color theme="1"/>
        <rFont val="Times New Roman"/>
        <family val="1"/>
      </rPr>
      <t>Ceding company:  JKC</t>
    </r>
  </si>
  <si>
    <r>
      <t>·</t>
    </r>
    <r>
      <rPr>
        <sz val="7"/>
        <color theme="1"/>
        <rFont val="Times New Roman"/>
        <family val="1"/>
      </rPr>
      <t xml:space="preserve">         </t>
    </r>
    <r>
      <rPr>
        <sz val="12"/>
        <color theme="1"/>
        <rFont val="Times New Roman"/>
        <family val="1"/>
      </rPr>
      <t>Reinsurer:  BJF</t>
    </r>
  </si>
  <si>
    <r>
      <t>·</t>
    </r>
    <r>
      <rPr>
        <sz val="7"/>
        <color theme="1"/>
        <rFont val="Times New Roman"/>
        <family val="1"/>
      </rPr>
      <t xml:space="preserve">         </t>
    </r>
    <r>
      <rPr>
        <sz val="12"/>
        <color theme="1"/>
        <rFont val="Times New Roman"/>
        <family val="1"/>
      </rPr>
      <t>Premiums are paid at the beginning of the year</t>
    </r>
  </si>
  <si>
    <r>
      <t>·</t>
    </r>
    <r>
      <rPr>
        <sz val="7"/>
        <color theme="1"/>
        <rFont val="Times New Roman"/>
        <family val="1"/>
      </rPr>
      <t xml:space="preserve">         </t>
    </r>
    <r>
      <rPr>
        <sz val="12"/>
        <color theme="1"/>
        <rFont val="Times New Roman"/>
        <family val="1"/>
      </rPr>
      <t>Death benefits paid in the middle of the year.</t>
    </r>
  </si>
  <si>
    <t>Coinsurance rate</t>
  </si>
  <si>
    <t>1st year mortality rate</t>
  </si>
  <si>
    <t>Investment Rate</t>
  </si>
  <si>
    <t xml:space="preserve">JKC's benefit reserve before reinsurance </t>
  </si>
  <si>
    <t>JKC's 1 year NAR</t>
  </si>
  <si>
    <t>1st year YRT rate (per 1000)</t>
  </si>
  <si>
    <t>Present value of mortality expense reimbursed / present value of ceded premium income</t>
  </si>
  <si>
    <r>
      <t>(a)</t>
    </r>
    <r>
      <rPr>
        <sz val="7"/>
        <color theme="1"/>
        <rFont val="Times New Roman"/>
        <family val="1"/>
      </rPr>
      <t xml:space="preserve">               </t>
    </r>
    <r>
      <rPr>
        <sz val="12"/>
        <color theme="1"/>
        <rFont val="Times New Roman"/>
        <family val="1"/>
      </rPr>
      <t>(</t>
    </r>
    <r>
      <rPr>
        <i/>
        <sz val="12"/>
        <color theme="1"/>
        <rFont val="Times New Roman"/>
        <family val="1"/>
      </rPr>
      <t>3 points</t>
    </r>
    <r>
      <rPr>
        <sz val="12"/>
        <color theme="1"/>
        <rFont val="Times New Roman"/>
        <family val="1"/>
      </rPr>
      <t xml:space="preserve">)  Calculate the FAS60 ceded benefit reserve at the end of year 1 on the following alternative reinsurance arrangements: </t>
    </r>
  </si>
  <si>
    <r>
      <t>(i)</t>
    </r>
    <r>
      <rPr>
        <sz val="7"/>
        <color theme="1"/>
        <rFont val="Times New Roman"/>
        <family val="1"/>
      </rPr>
      <t xml:space="preserve">                 </t>
    </r>
    <r>
      <rPr>
        <sz val="12"/>
        <color theme="1"/>
        <rFont val="Times New Roman"/>
        <family val="1"/>
      </rPr>
      <t>Coinsurance</t>
    </r>
  </si>
  <si>
    <r>
      <t>(ii)</t>
    </r>
    <r>
      <rPr>
        <sz val="7"/>
        <color theme="1"/>
        <rFont val="Times New Roman"/>
        <family val="1"/>
      </rPr>
      <t xml:space="preserve">              </t>
    </r>
    <r>
      <rPr>
        <sz val="12"/>
        <color theme="1"/>
        <rFont val="Times New Roman"/>
        <family val="1"/>
      </rPr>
      <t xml:space="preserve">YRT </t>
    </r>
  </si>
  <si>
    <t>QUESTION 7 (c)</t>
  </si>
  <si>
    <t>Responses for parts (a), (b) and (d) are to be provided in the Word document.</t>
  </si>
  <si>
    <t>Responses for part (c) are to be provided in this tab.</t>
  </si>
  <si>
    <t xml:space="preserve">LGA Life is a US based insurer with a diverse book of business. </t>
  </si>
  <si>
    <r>
      <t>(c)</t>
    </r>
    <r>
      <rPr>
        <sz val="7"/>
        <color theme="1"/>
        <rFont val="Times New Roman"/>
        <family val="1"/>
      </rPr>
      <t xml:space="preserve">               </t>
    </r>
    <r>
      <rPr>
        <sz val="12"/>
        <color theme="1"/>
        <rFont val="Times New Roman"/>
        <family val="1"/>
      </rPr>
      <t>(</t>
    </r>
    <r>
      <rPr>
        <i/>
        <sz val="12"/>
        <color theme="1"/>
        <rFont val="Times New Roman"/>
        <family val="1"/>
      </rPr>
      <t>4 points</t>
    </r>
    <r>
      <rPr>
        <sz val="12"/>
        <color theme="1"/>
        <rFont val="Times New Roman"/>
        <family val="1"/>
      </rPr>
      <t>)  You are given the following information on LGA’s Year End balance sheet entries:</t>
    </r>
  </si>
  <si>
    <t>Assets</t>
  </si>
  <si>
    <t>STAT</t>
  </si>
  <si>
    <t>GAAP</t>
  </si>
  <si>
    <t>Bonds</t>
  </si>
  <si>
    <t>Mortgage Loans</t>
  </si>
  <si>
    <t>Stocks</t>
  </si>
  <si>
    <t>Stocks in Subsidiary</t>
  </si>
  <si>
    <t>Cash</t>
  </si>
  <si>
    <t>Premiums Due</t>
  </si>
  <si>
    <t>Separate Account</t>
  </si>
  <si>
    <t>Liabilities</t>
  </si>
  <si>
    <t>Term Life Reserves</t>
  </si>
  <si>
    <t>Income Annuity Reserves</t>
  </si>
  <si>
    <t>Claims Payable</t>
  </si>
  <si>
    <t>Policyholder Dividends Payable</t>
  </si>
  <si>
    <t>Separate Account Liabilities</t>
  </si>
  <si>
    <t>AVR</t>
  </si>
  <si>
    <t>IMR</t>
  </si>
  <si>
    <t xml:space="preserve">Other Information </t>
  </si>
  <si>
    <t>Values</t>
  </si>
  <si>
    <t>Life Insurance Face Amount In Force</t>
  </si>
  <si>
    <t>Policy Count</t>
  </si>
  <si>
    <t>Annual Premiums</t>
  </si>
  <si>
    <t>Subsidiary RBC Amount</t>
  </si>
  <si>
    <t>Aggregate RBC Factors</t>
  </si>
  <si>
    <t>Factor</t>
  </si>
  <si>
    <t xml:space="preserve">C1 – Bonds </t>
  </si>
  <si>
    <t xml:space="preserve">C1 – Mortgages </t>
  </si>
  <si>
    <t xml:space="preserve">C1 – Stocks </t>
  </si>
  <si>
    <t xml:space="preserve">C1 – Cash  </t>
  </si>
  <si>
    <t>C2 – Life Insurance</t>
  </si>
  <si>
    <t>C3 – Life Reserves</t>
  </si>
  <si>
    <t>C3 – Annuity Reserves</t>
  </si>
  <si>
    <t>C4 – Operational</t>
  </si>
  <si>
    <t>Tax Rate</t>
  </si>
  <si>
    <t>Authorized Control Level Risk-Based Capital Formula:</t>
  </si>
  <si>
    <t>Determine whether your company has triggered any regulatory action level.  Show all work.</t>
  </si>
  <si>
    <t>QUESTION 8 (c)</t>
  </si>
  <si>
    <t>Responses for parts (a) and (b) are to be provided in the Word document.</t>
  </si>
  <si>
    <r>
      <t>(c)</t>
    </r>
    <r>
      <rPr>
        <sz val="7"/>
        <color theme="1"/>
        <rFont val="Times New Roman"/>
        <family val="1"/>
      </rPr>
      <t xml:space="preserve">               </t>
    </r>
    <r>
      <rPr>
        <sz val="12"/>
        <color theme="1"/>
        <rFont val="Times New Roman"/>
        <family val="1"/>
      </rPr>
      <t>(</t>
    </r>
    <r>
      <rPr>
        <i/>
        <sz val="12"/>
        <color theme="1"/>
        <rFont val="Times New Roman"/>
        <family val="1"/>
      </rPr>
      <t>3 points</t>
    </r>
    <r>
      <rPr>
        <sz val="12"/>
        <color theme="1"/>
        <rFont val="Times New Roman"/>
        <family val="1"/>
      </rPr>
      <t>)  Calculate one of the scenario reserves for the VM-20 stochastic reserve assuming the following information.</t>
    </r>
  </si>
  <si>
    <t>Projection Period (y)</t>
  </si>
  <si>
    <t>Statement Value of Assets</t>
  </si>
  <si>
    <t>One-Year Forward Treasury Rate</t>
  </si>
  <si>
    <t>QUESTION 9 (b) (c)</t>
  </si>
  <si>
    <t>Responses for parts (b) and (c) are to be provided in this tab.</t>
  </si>
  <si>
    <t>You are given the following policies:</t>
  </si>
  <si>
    <t>Policy A</t>
  </si>
  <si>
    <t>20-year level premium term issued in 2015</t>
  </si>
  <si>
    <t>Policy B</t>
  </si>
  <si>
    <t>Whole life with increasing death benefit issued in 2015</t>
  </si>
  <si>
    <t>Policy C</t>
  </si>
  <si>
    <t>10-pay level death benefit whole life issued in 2015</t>
  </si>
  <si>
    <t>Policy D</t>
  </si>
  <si>
    <t>Level death benefit whole life issued in 2019</t>
  </si>
  <si>
    <t>Policy E</t>
  </si>
  <si>
    <t>20-year level premium term issued in 2020</t>
  </si>
  <si>
    <t>Policy F</t>
  </si>
  <si>
    <t>UL with secondary guarantee issued in 2020</t>
  </si>
  <si>
    <t>Policy G</t>
  </si>
  <si>
    <t>Level death benefit whole life issued in 2020</t>
  </si>
  <si>
    <t>Policy H</t>
  </si>
  <si>
    <t>Whole life with increasing death benefit issued in 2020</t>
  </si>
  <si>
    <r>
      <t>(b)</t>
    </r>
    <r>
      <rPr>
        <sz val="7"/>
        <color theme="1"/>
        <rFont val="Times New Roman"/>
        <family val="1"/>
      </rPr>
      <t xml:space="preserve">               </t>
    </r>
    <r>
      <rPr>
        <sz val="12"/>
        <color theme="1"/>
        <rFont val="Times New Roman"/>
        <family val="1"/>
      </rPr>
      <t>(</t>
    </r>
    <r>
      <rPr>
        <i/>
        <sz val="12"/>
        <color theme="1"/>
        <rFont val="Times New Roman"/>
        <family val="1"/>
      </rPr>
      <t>4 points</t>
    </r>
    <r>
      <rPr>
        <sz val="12"/>
        <color theme="1"/>
        <rFont val="Times New Roman"/>
        <family val="1"/>
      </rPr>
      <t>)  You are given the following for policy C:</t>
    </r>
  </si>
  <si>
    <t xml:space="preserve"> =</t>
  </si>
  <si>
    <t>Assume Policy C was issued on July 1 with death benefit of 250,000, its level premiums are paid annually, and there is no premium deficiency.</t>
  </si>
  <si>
    <t>Calculate the semi-continuous CRVM mean reserve as of 12/31/2020.  Show your work.</t>
  </si>
  <si>
    <r>
      <t>(c)</t>
    </r>
    <r>
      <rPr>
        <sz val="7"/>
        <color theme="1"/>
        <rFont val="Times New Roman"/>
        <family val="1"/>
      </rPr>
      <t xml:space="preserve">               </t>
    </r>
    <r>
      <rPr>
        <sz val="12"/>
        <color theme="1"/>
        <rFont val="Times New Roman"/>
        <family val="1"/>
      </rPr>
      <t>(</t>
    </r>
    <r>
      <rPr>
        <i/>
        <sz val="12"/>
        <color theme="1"/>
        <rFont val="Times New Roman"/>
        <family val="1"/>
      </rPr>
      <t>5 points</t>
    </r>
    <r>
      <rPr>
        <sz val="12"/>
        <color theme="1"/>
        <rFont val="Times New Roman"/>
        <family val="1"/>
      </rPr>
      <t>)  You are given the following for the policies subject to PBR:</t>
    </r>
  </si>
  <si>
    <t>Amounts in Millions</t>
  </si>
  <si>
    <t>Plan</t>
  </si>
  <si>
    <t>Accumulation UL</t>
  </si>
  <si>
    <t>UL w Lifetime Secondary Guarantee</t>
  </si>
  <si>
    <t>Agency Term</t>
  </si>
  <si>
    <t>Direct Response Term</t>
  </si>
  <si>
    <t>Whole Life</t>
  </si>
  <si>
    <t>Asset Segment Backing Liabilities</t>
  </si>
  <si>
    <t xml:space="preserve">Segment </t>
  </si>
  <si>
    <t># 1</t>
  </si>
  <si>
    <t># 2</t>
  </si>
  <si>
    <t>PV Premium</t>
  </si>
  <si>
    <t>PV Expenses</t>
  </si>
  <si>
    <t>PV Benefits</t>
  </si>
  <si>
    <t>PV Commissions</t>
  </si>
  <si>
    <t>PV Federal Income Taxes</t>
  </si>
  <si>
    <t>Stochastic Reserve - CTE 70</t>
  </si>
  <si>
    <t>Stochastic Reserve - CTE 90</t>
  </si>
  <si>
    <t>Net Premium Reserve</t>
  </si>
  <si>
    <t>Assume the company passes the stochastic exclusion test for applicable plans except for UL with lifetime secondary guarantee.</t>
  </si>
  <si>
    <r>
      <t>(i)</t>
    </r>
    <r>
      <rPr>
        <sz val="7"/>
        <color theme="1"/>
        <rFont val="Times New Roman"/>
        <family val="1"/>
      </rPr>
      <t xml:space="preserve">                 </t>
    </r>
    <r>
      <rPr>
        <sz val="12"/>
        <color theme="1"/>
        <rFont val="Times New Roman"/>
        <family val="1"/>
      </rPr>
      <t>(</t>
    </r>
    <r>
      <rPr>
        <i/>
        <sz val="12"/>
        <color theme="1"/>
        <rFont val="Times New Roman"/>
        <family val="1"/>
      </rPr>
      <t>3 points</t>
    </r>
    <r>
      <rPr>
        <sz val="12"/>
        <color theme="1"/>
        <rFont val="Times New Roman"/>
        <family val="1"/>
      </rPr>
      <t>)  Calculate the minimum PBR reserve permitted under the aggregation rules of VM-20.</t>
    </r>
  </si>
  <si>
    <r>
      <t>(ii)</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Calculate the amount of reserve savings realized via aggregation.</t>
    </r>
  </si>
  <si>
    <t>QUESTION 10 (a)(i) (a)(ii) (b)(ii)</t>
  </si>
  <si>
    <t>Responses for parts (a)(iii), (b)(i) and (b)(iii) are to be provided in the Word document.</t>
  </si>
  <si>
    <t>Responses for parts (a)(i), (a)(ii) and (b)(ii) are to be provided in this tab.</t>
  </si>
  <si>
    <t>With respect to VM-21 in the 2020 Valuation Manual:</t>
  </si>
  <si>
    <r>
      <t>(a)</t>
    </r>
    <r>
      <rPr>
        <sz val="7"/>
        <color theme="1"/>
        <rFont val="Times New Roman"/>
        <family val="1"/>
      </rPr>
      <t>              </t>
    </r>
    <r>
      <rPr>
        <sz val="12"/>
        <color theme="1"/>
        <rFont val="Times New Roman"/>
        <family val="1"/>
      </rPr>
      <t>You are given:</t>
    </r>
  </si>
  <si>
    <t>Variable Annuity Balances as of the Valuation Date</t>
  </si>
  <si>
    <t>Estimated Stat Reserve</t>
  </si>
  <si>
    <t>Separate Account Assets</t>
  </si>
  <si>
    <t>General Account Assets</t>
  </si>
  <si>
    <t>VM-21 model output: Scenario 1 of 1,000</t>
  </si>
  <si>
    <t>Projection of Accumulated Deficiencies</t>
  </si>
  <si>
    <t>Projections of the Additional Invested Assets Portfolio</t>
  </si>
  <si>
    <t>Cash Surrender Value</t>
  </si>
  <si>
    <t>Assets - Separate Account</t>
  </si>
  <si>
    <t>Assets - General Account</t>
  </si>
  <si>
    <t>Projection A</t>
  </si>
  <si>
    <t>Projection B</t>
  </si>
  <si>
    <t>Projection C</t>
  </si>
  <si>
    <t xml:space="preserve">            -   </t>
  </si>
  <si>
    <r>
      <t>(i)</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Assess which of the additional invested asset projections is most appropriate to use in the net asset earned rate (NAER) method.  Justify your response.</t>
    </r>
  </si>
  <si>
    <r>
      <t>(ii)</t>
    </r>
    <r>
      <rPr>
        <sz val="7"/>
        <color theme="1"/>
        <rFont val="Times New Roman"/>
        <family val="1"/>
      </rPr>
      <t xml:space="preserve">              </t>
    </r>
    <r>
      <rPr>
        <sz val="12"/>
        <color theme="1"/>
        <rFont val="Times New Roman"/>
        <family val="1"/>
      </rPr>
      <t>(</t>
    </r>
    <r>
      <rPr>
        <i/>
        <sz val="12"/>
        <color theme="1"/>
        <rFont val="Times New Roman"/>
        <family val="1"/>
      </rPr>
      <t>3 points</t>
    </r>
    <r>
      <rPr>
        <sz val="12"/>
        <color theme="1"/>
        <rFont val="Times New Roman"/>
        <family val="1"/>
      </rPr>
      <t>)  Calculate the scenario reserve using the NAER method</t>
    </r>
  </si>
  <si>
    <r>
      <t>(b)</t>
    </r>
    <r>
      <rPr>
        <sz val="7"/>
        <color theme="1"/>
        <rFont val="Times New Roman"/>
        <family val="1"/>
      </rPr>
      <t xml:space="preserve">               </t>
    </r>
    <r>
      <rPr>
        <sz val="12"/>
        <color theme="1"/>
        <rFont val="Times New Roman"/>
        <family val="1"/>
      </rPr>
      <t xml:space="preserve"> LZT Life has a large VA block with significant GMWB exposure and is in the process of formally documenting their </t>
    </r>
  </si>
  <si>
    <t xml:space="preserve">hedging program as a Clearly Defined Hedging Strategy (CDHS). </t>
  </si>
  <si>
    <r>
      <t>·</t>
    </r>
    <r>
      <rPr>
        <sz val="7"/>
        <color theme="1"/>
        <rFont val="Times New Roman"/>
        <family val="1"/>
      </rPr>
      <t xml:space="preserve">         </t>
    </r>
    <r>
      <rPr>
        <sz val="12"/>
        <color theme="1"/>
        <rFont val="Times New Roman"/>
        <family val="1"/>
      </rPr>
      <t xml:space="preserve">LZT employs a dynamic delta, vega, and rho Greek matching strategy to hedge the fair value of their GMWB liability. </t>
    </r>
  </si>
  <si>
    <r>
      <t>·</t>
    </r>
    <r>
      <rPr>
        <sz val="7"/>
        <color theme="1"/>
        <rFont val="Times New Roman"/>
        <family val="1"/>
      </rPr>
      <t xml:space="preserve">         </t>
    </r>
    <r>
      <rPr>
        <sz val="12"/>
        <color theme="1"/>
        <rFont val="Times New Roman"/>
        <family val="1"/>
      </rPr>
      <t xml:space="preserve">LZT only hedges market risks and not decrement risks.  </t>
    </r>
  </si>
  <si>
    <r>
      <t>·</t>
    </r>
    <r>
      <rPr>
        <sz val="7"/>
        <color theme="1"/>
        <rFont val="Times New Roman"/>
        <family val="1"/>
      </rPr>
      <t xml:space="preserve">         </t>
    </r>
    <r>
      <rPr>
        <sz val="12"/>
        <color theme="1"/>
        <rFont val="Times New Roman"/>
        <family val="1"/>
      </rPr>
      <t xml:space="preserve">LZT uses the CTE with Prescribed Assumptions (CTEPA) method to calculate the VM-21 additional standard projection amount, </t>
    </r>
  </si>
  <si>
    <t>and their hedging strategy meets the requirements of a CDHS.  Assume the block of business is homogeneous.</t>
  </si>
  <si>
    <r>
      <t>·</t>
    </r>
    <r>
      <rPr>
        <sz val="7"/>
        <color theme="1"/>
        <rFont val="Times New Roman"/>
        <family val="1"/>
      </rPr>
      <t xml:space="preserve">         </t>
    </r>
    <r>
      <rPr>
        <sz val="12"/>
        <color theme="1"/>
        <rFont val="Times New Roman"/>
        <family val="1"/>
      </rPr>
      <t>LZT is planning to document its CDHS for VM-21 using the same requirements as VM-20.</t>
    </r>
  </si>
  <si>
    <r>
      <t>·</t>
    </r>
    <r>
      <rPr>
        <sz val="7"/>
        <color theme="1"/>
        <rFont val="Times New Roman"/>
        <family val="1"/>
      </rPr>
      <t xml:space="preserve">         </t>
    </r>
    <r>
      <rPr>
        <sz val="12"/>
        <color theme="1"/>
        <rFont val="Times New Roman"/>
        <family val="1"/>
      </rPr>
      <t>LZT does not use the Alternative Methodology for any contracts.</t>
    </r>
  </si>
  <si>
    <t>Best Efforts</t>
  </si>
  <si>
    <t>Adjusted</t>
  </si>
  <si>
    <t>Adjusted with Prescribed Assumptions</t>
  </si>
  <si>
    <t>With Cash Surrender Value Floor</t>
  </si>
  <si>
    <t>CTE65</t>
  </si>
  <si>
    <t>Without Cash Surrender Value Floor</t>
  </si>
  <si>
    <t>E-Factor</t>
  </si>
  <si>
    <t>Pretax Interest Maintenance Reserve</t>
  </si>
  <si>
    <r>
      <t>(ii)</t>
    </r>
    <r>
      <rPr>
        <sz val="7"/>
        <color theme="1"/>
        <rFont val="Times New Roman"/>
        <family val="1"/>
      </rPr>
      <t xml:space="preserve">                 </t>
    </r>
    <r>
      <rPr>
        <sz val="12"/>
        <color theme="1"/>
        <rFont val="Times New Roman"/>
        <family val="1"/>
      </rPr>
      <t>(</t>
    </r>
    <r>
      <rPr>
        <i/>
        <sz val="12"/>
        <color theme="1"/>
        <rFont val="Times New Roman"/>
        <family val="1"/>
      </rPr>
      <t>3 points</t>
    </r>
    <r>
      <rPr>
        <sz val="12"/>
        <color theme="1"/>
        <rFont val="Times New Roman"/>
        <family val="1"/>
      </rPr>
      <t>)  Calculate the VM-21 reserve.</t>
    </r>
  </si>
  <si>
    <t>Probability of One-Notch downgrade or default</t>
  </si>
  <si>
    <t>Risk Threshold-Quantity (%-age of  of authorized level)</t>
  </si>
  <si>
    <t>VaR of RBC or S&amp;P CAR</t>
  </si>
  <si>
    <t>excess capital ratio over threshold</t>
  </si>
  <si>
    <t>=Simulated capital - risk threshold</t>
  </si>
  <si>
    <t>=160%-100%</t>
  </si>
  <si>
    <t>=190%-150%</t>
  </si>
  <si>
    <t>Capital Release at end of year 1</t>
  </si>
  <si>
    <t>=excessl capital ratio x mean of risk capital</t>
  </si>
  <si>
    <t>Current capital available for release</t>
  </si>
  <si>
    <t>= capital release at end of year 1 / (1+disc)</t>
  </si>
  <si>
    <t>QUESTION 2 (d)</t>
  </si>
  <si>
    <t>Responses for part (d) are to be provided in this tab.</t>
  </si>
  <si>
    <r>
      <t>(d)</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xml:space="preserve">)  You are given one of the projected scenarios from ALF’s cash flow model. </t>
    </r>
  </si>
  <si>
    <t>Projection period</t>
  </si>
  <si>
    <t>Statement value of assets</t>
  </si>
  <si>
    <t>One – Year Treasury Rate</t>
  </si>
  <si>
    <t>N/A</t>
  </si>
  <si>
    <t>Calculate the scenario reserve.  Show all work.</t>
  </si>
  <si>
    <t>QUESTION 3 (b)</t>
  </si>
  <si>
    <t>Responses for part (b) are to be provided in this tab.</t>
  </si>
  <si>
    <t xml:space="preserve">You are given the following for the Canadian entity (in billions): </t>
  </si>
  <si>
    <t>Tier 1 Capital</t>
  </si>
  <si>
    <t>Tier 2 Capital</t>
  </si>
  <si>
    <t>Surplus Allowances</t>
  </si>
  <si>
    <t>Eligible Deposits</t>
  </si>
  <si>
    <t>Base Solvency Buffer</t>
  </si>
  <si>
    <t>and supervisory target, respectively. Show all work.</t>
  </si>
  <si>
    <t>QUESTION 4 (d)</t>
  </si>
  <si>
    <r>
      <t>(d)</t>
    </r>
    <r>
      <rPr>
        <sz val="7"/>
        <color theme="1"/>
        <rFont val="Times New Roman"/>
        <family val="1"/>
      </rPr>
      <t xml:space="preserve"> </t>
    </r>
    <r>
      <rPr>
        <sz val="12"/>
        <color theme="1"/>
        <rFont val="Times New Roman"/>
        <family val="1"/>
      </rPr>
      <t>(</t>
    </r>
    <r>
      <rPr>
        <i/>
        <sz val="12"/>
        <color theme="1"/>
        <rFont val="Times New Roman"/>
        <family val="1"/>
      </rPr>
      <t>3 points</t>
    </r>
    <r>
      <rPr>
        <sz val="12"/>
        <color theme="1"/>
        <rFont val="Times New Roman"/>
        <family val="1"/>
      </rPr>
      <t>)  You are given the following Standard Projection calculations for five policies at the model point level and at the aggregate level:</t>
    </r>
  </si>
  <si>
    <t>GPVAD</t>
  </si>
  <si>
    <t>Present value of net liabilities</t>
  </si>
  <si>
    <t>Cash surrender value</t>
  </si>
  <si>
    <t>Policy 1</t>
  </si>
  <si>
    <t>Policy 2</t>
  </si>
  <si>
    <t>Policy 3</t>
  </si>
  <si>
    <t>Policy 4</t>
  </si>
  <si>
    <t>Policy 5</t>
  </si>
  <si>
    <t>Aggregate</t>
  </si>
  <si>
    <t xml:space="preserve">Determine which of the two methods for quantifying the impact of aggregation in the standard projection described in the AAA practice note </t>
  </si>
  <si>
    <t xml:space="preserve">“Implementation of Requirements for Principle-Based Reserves for Variable Annuities – 2021 Edition of VM-21” has a larger impact. </t>
  </si>
  <si>
    <t>QUESTION 5 (a) parts i, ii, iii</t>
  </si>
  <si>
    <t>Responses for parts (a-iv) and (b) are to be provided in the Word document.</t>
  </si>
  <si>
    <t>Responses for part (a - i, ii, iii) are to be provided in this tab.</t>
  </si>
  <si>
    <t>TOB, a U.S. life insurance company, recently entered into a 50% coinsurance agreement with offshore reinsurer DEF on a new Universal Life product.</t>
  </si>
  <si>
    <t>You are given the following product cash flow projections:</t>
  </si>
  <si>
    <t>Expected Direct Gross Premium</t>
  </si>
  <si>
    <t>Expected Reinsurance Reimbursement</t>
  </si>
  <si>
    <t>Ceding Commission</t>
  </si>
  <si>
    <t>QUESTION 6 (a), (b), (c)</t>
  </si>
  <si>
    <t>Responses for all parts are to be provided in this tab.</t>
  </si>
  <si>
    <t>Benefits and Expenses Paid</t>
  </si>
  <si>
    <t xml:space="preserve">Show all work. </t>
  </si>
  <si>
    <t xml:space="preserve">the assumption for benefits and expenses paid in year 3 were adjusted accordingly.  No other assumptions were modified. </t>
  </si>
  <si>
    <t>Calculate the LFPB at the end of year 3. Show all work.</t>
  </si>
  <si>
    <t>QUESTION 7 (a)</t>
  </si>
  <si>
    <t>You are given for a Single Premium Fixed Deferred Annuity:</t>
  </si>
  <si>
    <t>Item</t>
  </si>
  <si>
    <t>Value and Units</t>
  </si>
  <si>
    <t>Single Premium</t>
  </si>
  <si>
    <t>Initial Guaranteed Interest Rate</t>
  </si>
  <si>
    <t>Initial Guaranteed Rate Term</t>
  </si>
  <si>
    <t>4 years</t>
  </si>
  <si>
    <t>Ultimate Guaranteed Minimum Interest Rate</t>
  </si>
  <si>
    <t>Surrender Charge by policy year</t>
  </si>
  <si>
    <t>10%, 8%, 6%, 4%, 2%</t>
  </si>
  <si>
    <t>Front-End Load (% of Premium)</t>
  </si>
  <si>
    <t>Statutory Valuation Interest Rate</t>
  </si>
  <si>
    <r>
      <t>Contract expires after 7</t>
    </r>
    <r>
      <rPr>
        <b/>
        <vertAlign val="superscript"/>
        <sz val="12"/>
        <color theme="1"/>
        <rFont val="Times New Roman"/>
        <family val="1"/>
      </rPr>
      <t>th</t>
    </r>
    <r>
      <rPr>
        <b/>
        <sz val="12"/>
        <color theme="1"/>
        <rFont val="Times New Roman"/>
        <family val="1"/>
      </rPr>
      <t xml:space="preserve"> anniversary</t>
    </r>
  </si>
  <si>
    <r>
      <t>(a)</t>
    </r>
    <r>
      <rPr>
        <sz val="7"/>
        <color theme="1"/>
        <rFont val="Times New Roman"/>
        <family val="1"/>
      </rPr>
      <t xml:space="preserve">            </t>
    </r>
    <r>
      <rPr>
        <sz val="12"/>
        <color theme="1"/>
        <rFont val="Times New Roman"/>
        <family val="1"/>
      </rPr>
      <t>(</t>
    </r>
    <r>
      <rPr>
        <i/>
        <sz val="12"/>
        <color theme="1"/>
        <rFont val="Times New Roman"/>
        <family val="1"/>
      </rPr>
      <t>3 points</t>
    </r>
    <r>
      <rPr>
        <sz val="12"/>
        <color theme="1"/>
        <rFont val="Times New Roman"/>
        <family val="1"/>
      </rPr>
      <t>)  Calculate the CARVM reserves, assuming the mortality rate is 0 and no partial withdrawals are available prior to contract maturity.  Show your work.</t>
    </r>
  </si>
  <si>
    <t>QUESTION 8 (b)</t>
  </si>
  <si>
    <t>Responses for parts (a) are to be provided in the Word document.</t>
  </si>
  <si>
    <r>
      <t>(b)</t>
    </r>
    <r>
      <rPr>
        <sz val="7"/>
        <color theme="1"/>
        <rFont val="Times New Roman"/>
        <family val="1"/>
      </rPr>
      <t>   (</t>
    </r>
    <r>
      <rPr>
        <i/>
        <sz val="12"/>
        <color theme="1"/>
        <rFont val="Times New Roman"/>
        <family val="1"/>
      </rPr>
      <t>3 points</t>
    </r>
    <r>
      <rPr>
        <sz val="12"/>
        <color theme="1"/>
        <rFont val="Times New Roman"/>
        <family val="1"/>
      </rPr>
      <t xml:space="preserve">)  GVB Company has a small block of variable deferred annuities.  The total CTE is 840,000.  The table below includes the available information for each policy. </t>
    </r>
  </si>
  <si>
    <t>Policy ID</t>
  </si>
  <si>
    <t>Standard projection amount</t>
  </si>
  <si>
    <t>Cash value</t>
  </si>
  <si>
    <t>Calculate the VM-21 reserve for each policy.</t>
  </si>
  <si>
    <t xml:space="preserve">DJS Life insurance company sells variable deferred annuities with a Guaranteed Minimum Income Benefit (GMIB) rider which has a waiting period of 10 years.  Some policyholders have exercised their options and annuitized their contracts. </t>
  </si>
  <si>
    <t>You are given the following information for a policyholder at the time of annuitization:</t>
  </si>
  <si>
    <r>
      <t>·</t>
    </r>
    <r>
      <rPr>
        <sz val="7"/>
        <color theme="1"/>
        <rFont val="Times New Roman"/>
        <family val="1"/>
      </rPr>
      <t xml:space="preserve">       </t>
    </r>
    <r>
      <rPr>
        <sz val="12"/>
        <color theme="1"/>
        <rFont val="Times New Roman"/>
        <family val="1"/>
      </rPr>
      <t>Year of annuitization:</t>
    </r>
  </si>
  <si>
    <r>
      <t>·</t>
    </r>
    <r>
      <rPr>
        <sz val="7"/>
        <color theme="1"/>
        <rFont val="Times New Roman"/>
        <family val="1"/>
      </rPr>
      <t xml:space="preserve">       </t>
    </r>
    <r>
      <rPr>
        <sz val="12"/>
        <color theme="1"/>
        <rFont val="Times New Roman"/>
        <family val="1"/>
      </rPr>
      <t>Age at annuitization:</t>
    </r>
  </si>
  <si>
    <r>
      <t>·</t>
    </r>
    <r>
      <rPr>
        <sz val="7"/>
        <color theme="1"/>
        <rFont val="Times New Roman"/>
        <family val="1"/>
      </rPr>
      <t xml:space="preserve">       </t>
    </r>
    <r>
      <rPr>
        <sz val="12"/>
        <color theme="1"/>
        <rFont val="Times New Roman"/>
        <family val="1"/>
      </rPr>
      <t xml:space="preserve">Fund available for annuitization: </t>
    </r>
  </si>
  <si>
    <r>
      <t>·</t>
    </r>
    <r>
      <rPr>
        <sz val="7"/>
        <color theme="1"/>
        <rFont val="Times New Roman"/>
        <family val="1"/>
      </rPr>
      <t xml:space="preserve">       </t>
    </r>
    <r>
      <rPr>
        <sz val="12"/>
        <color theme="1"/>
        <rFont val="Times New Roman"/>
        <family val="1"/>
      </rPr>
      <t xml:space="preserve">Benefit payment:  </t>
    </r>
  </si>
  <si>
    <t>1,000 per month</t>
  </si>
  <si>
    <r>
      <t>·</t>
    </r>
    <r>
      <rPr>
        <sz val="7"/>
        <color theme="1"/>
        <rFont val="Times New Roman"/>
        <family val="1"/>
      </rPr>
      <t xml:space="preserve">       </t>
    </r>
    <r>
      <rPr>
        <sz val="12"/>
        <color theme="1"/>
        <rFont val="Times New Roman"/>
        <family val="1"/>
      </rPr>
      <t xml:space="preserve">Acquisition expense: </t>
    </r>
  </si>
  <si>
    <r>
      <t>·</t>
    </r>
    <r>
      <rPr>
        <sz val="7"/>
        <color theme="1"/>
        <rFont val="Times New Roman"/>
        <family val="1"/>
      </rPr>
      <t xml:space="preserve">       </t>
    </r>
    <r>
      <rPr>
        <sz val="12"/>
        <color theme="1"/>
        <rFont val="Times New Roman"/>
        <family val="1"/>
      </rPr>
      <t xml:space="preserve">Maintenance expense: </t>
    </r>
  </si>
  <si>
    <t>50 per year</t>
  </si>
  <si>
    <r>
      <t>·</t>
    </r>
    <r>
      <rPr>
        <sz val="7"/>
        <color theme="1"/>
        <rFont val="Times New Roman"/>
        <family val="1"/>
      </rPr>
      <t xml:space="preserve">       </t>
    </r>
    <r>
      <rPr>
        <sz val="12"/>
        <color theme="1"/>
        <rFont val="Times New Roman"/>
        <family val="1"/>
      </rPr>
      <t xml:space="preserve">Best-estimate mortality: </t>
    </r>
  </si>
  <si>
    <t>A2000</t>
  </si>
  <si>
    <r>
      <t>·</t>
    </r>
    <r>
      <rPr>
        <sz val="7"/>
        <color theme="1"/>
        <rFont val="Times New Roman"/>
        <family val="1"/>
      </rPr>
      <t xml:space="preserve">       </t>
    </r>
    <r>
      <rPr>
        <sz val="12"/>
        <color theme="1"/>
        <rFont val="Times New Roman"/>
        <family val="1"/>
      </rPr>
      <t xml:space="preserve">Prescribed mortality: </t>
    </r>
  </si>
  <si>
    <t>1994 GAR</t>
  </si>
  <si>
    <r>
      <t>·</t>
    </r>
    <r>
      <rPr>
        <sz val="7"/>
        <color theme="1"/>
        <rFont val="Times New Roman"/>
        <family val="1"/>
      </rPr>
      <t xml:space="preserve">       </t>
    </r>
    <r>
      <rPr>
        <sz val="12"/>
        <color theme="1"/>
        <rFont val="Times New Roman"/>
        <family val="1"/>
      </rPr>
      <t xml:space="preserve">Statutory interest rate: </t>
    </r>
  </si>
  <si>
    <r>
      <t>·</t>
    </r>
    <r>
      <rPr>
        <sz val="7"/>
        <color theme="1"/>
        <rFont val="Times New Roman"/>
        <family val="1"/>
      </rPr>
      <t xml:space="preserve">       </t>
    </r>
    <r>
      <rPr>
        <sz val="12"/>
        <color theme="1"/>
        <rFont val="Times New Roman"/>
        <family val="1"/>
      </rPr>
      <t xml:space="preserve">Current portfolio yield: </t>
    </r>
  </si>
  <si>
    <t>Annual annuity factors table:</t>
  </si>
  <si>
    <t xml:space="preserve">GAAP factors </t>
  </si>
  <si>
    <t>Statutory factors</t>
  </si>
  <si>
    <t>Age</t>
  </si>
  <si>
    <t>@ 3%</t>
  </si>
  <si>
    <t>@ 6%</t>
  </si>
  <si>
    <r>
      <t>(b)</t>
    </r>
    <r>
      <rPr>
        <sz val="7"/>
        <color theme="1"/>
        <rFont val="Times New Roman"/>
        <family val="1"/>
      </rPr>
      <t xml:space="preserve">  </t>
    </r>
    <r>
      <rPr>
        <sz val="12"/>
        <color theme="1"/>
        <rFont val="Times New Roman"/>
        <family val="1"/>
      </rPr>
      <t>(</t>
    </r>
    <r>
      <rPr>
        <i/>
        <sz val="12"/>
        <color theme="1"/>
        <rFont val="Times New Roman"/>
        <family val="1"/>
      </rPr>
      <t>5 points</t>
    </r>
    <r>
      <rPr>
        <sz val="12"/>
        <color theme="1"/>
        <rFont val="Times New Roman"/>
        <family val="1"/>
      </rPr>
      <t>)  Calculate the following reserves for the policy when the policyholder attains age 69.</t>
    </r>
  </si>
  <si>
    <r>
      <t>(i)</t>
    </r>
    <r>
      <rPr>
        <sz val="7"/>
        <color theme="1"/>
        <rFont val="Times New Roman"/>
        <family val="1"/>
      </rPr>
      <t xml:space="preserve">             </t>
    </r>
    <r>
      <rPr>
        <sz val="12"/>
        <color theme="1"/>
        <rFont val="Times New Roman"/>
        <family val="1"/>
      </rPr>
      <t>US GAAP reserves</t>
    </r>
  </si>
  <si>
    <r>
      <t>(ii)</t>
    </r>
    <r>
      <rPr>
        <sz val="7"/>
        <color theme="1"/>
        <rFont val="Times New Roman"/>
        <family val="1"/>
      </rPr>
      <t xml:space="preserve">           </t>
    </r>
    <r>
      <rPr>
        <sz val="12"/>
        <color theme="1"/>
        <rFont val="Times New Roman"/>
        <family val="1"/>
      </rPr>
      <t>US statutory reserves</t>
    </r>
  </si>
  <si>
    <r>
      <t>(iii)</t>
    </r>
    <r>
      <rPr>
        <sz val="7"/>
        <color theme="1"/>
        <rFont val="Times New Roman"/>
        <family val="1"/>
      </rPr>
      <t xml:space="preserve">         </t>
    </r>
    <r>
      <rPr>
        <sz val="12"/>
        <color theme="1"/>
        <rFont val="Times New Roman"/>
        <family val="1"/>
      </rPr>
      <t>Tax reserves</t>
    </r>
  </si>
  <si>
    <t>Question 5</t>
  </si>
  <si>
    <t>(a)</t>
  </si>
  <si>
    <t>Calculate the following as required by FASB ASC 944 (formerly FASB 113) based on TOB’s product cashflow projections:</t>
  </si>
  <si>
    <t>Year 6</t>
  </si>
  <si>
    <t>Year 7</t>
  </si>
  <si>
    <t>Year 8</t>
  </si>
  <si>
    <t>(i)   Reinsurance Benefit Reserve Adjustment at the end of each year.</t>
  </si>
  <si>
    <t>Commentary on Question:</t>
  </si>
  <si>
    <t>Candidates generally used the right approach for the calculation.</t>
  </si>
  <si>
    <t xml:space="preserve">Common errors included using the reinsurance premium instead of gross premium; having the wrong sign for the cashflow adjustments; and not deducting the reinsurance premium from the reinsurance reimbursement calculation. </t>
  </si>
  <si>
    <t>Simplified half year interest is applied for cash flow in the model solution. However, candidates that applied full year interest or compound half year interest on cash flow correctly received full credit.</t>
  </si>
  <si>
    <t>full year's interest:</t>
  </si>
  <si>
    <t>half year's interest</t>
  </si>
  <si>
    <t>Expected Reinsurance Premium</t>
  </si>
  <si>
    <t>Expected Net Reinsurance Reimbursements</t>
  </si>
  <si>
    <t>PV of Expected Reinsurance Reimbursements</t>
  </si>
  <si>
    <t>PV of Expected Gross Premium</t>
  </si>
  <si>
    <t>Net Valuation Premium of the Reinsurance CF %</t>
  </si>
  <si>
    <t>Net Valuation Premium of the Reinsurance CF</t>
  </si>
  <si>
    <t>Reinsurance Benefit Reserve Adjustment at end of year</t>
  </si>
  <si>
    <t>&lt;= answer for i)</t>
  </si>
  <si>
    <t>CF occurred @ EOY</t>
  </si>
  <si>
    <t>The reinsurance benefit reserve adjustment at end of year calculation formula can be found at page 67 of the source material.</t>
  </si>
  <si>
    <t>(ii)   Reinsurance Expense Reserve Adjustment at the end of each year.</t>
  </si>
  <si>
    <t>Common errors included using the reinsurance premium instead of gross premium; and having the wrong sign for the cashflow adjustments.</t>
  </si>
  <si>
    <t>PV of Expected Ceding Commission</t>
  </si>
  <si>
    <t>Net Valuation Premium of the Ceding Commission %</t>
  </si>
  <si>
    <t>Net Valuation Premium of the Ceding Commission</t>
  </si>
  <si>
    <t>Reinsurance Expense Reserve Adjustment at end of year</t>
  </si>
  <si>
    <t>&lt;= answer for ii)</t>
  </si>
  <si>
    <t>(iii)   Cost of Reinsurance after Interest at the end of each year.</t>
  </si>
  <si>
    <t>Candidates generally did not do well on part (iii); many candidates simply provided either the total of reinsurance benefit reserve adjustment and expense reserve adjustment or the expected net cashflows as the answer,</t>
  </si>
  <si>
    <t>Few candidates identified the change in reserve adjustment and expected net cash flows.</t>
  </si>
  <si>
    <t>Expected Cash Flows In (Out)</t>
  </si>
  <si>
    <t>Reinsurance Reserve Adjustment at end of year</t>
  </si>
  <si>
    <t>Change in Reinsurance Reserve Adjustment at end of year</t>
  </si>
  <si>
    <t>Adjusted net CoR before interest</t>
  </si>
  <si>
    <t>Adjusted net Interest Component</t>
  </si>
  <si>
    <t>Cost of Reinsurance after Interest</t>
  </si>
  <si>
    <t>&lt;= answer for iii)</t>
  </si>
  <si>
    <t>(iv)   Fill in the effects of the net cost of reinsurance on TOB’s year 1 balance sheet and income statement in the applicable cells below</t>
  </si>
  <si>
    <t>Most candidates struggled with part (iv). Candidates in general were not familiar with financial statements.</t>
  </si>
  <si>
    <t xml:space="preserve">Year 1 </t>
  </si>
  <si>
    <t>Balance Sheet</t>
  </si>
  <si>
    <t>Income Statement</t>
  </si>
  <si>
    <t>Debit</t>
  </si>
  <si>
    <t>Credit</t>
  </si>
  <si>
    <t>Recognition of the Cashflows</t>
  </si>
  <si>
    <t>Y1 Reinsurance CF</t>
  </si>
  <si>
    <t>Premiums Ceded</t>
  </si>
  <si>
    <t>Y1 Reinsurance Premium</t>
  </si>
  <si>
    <t>Benefits Incurred</t>
  </si>
  <si>
    <t>Y1 Reinsurance Reimbursement</t>
  </si>
  <si>
    <t>Amortization of Acquisition Costs</t>
  </si>
  <si>
    <t>Y1 Commission</t>
  </si>
  <si>
    <t>Recognition of the Adj. to net COR</t>
  </si>
  <si>
    <t>Reinsurance Recoverable</t>
  </si>
  <si>
    <t>EOY1 Benefit Rsv Adj</t>
  </si>
  <si>
    <t>EOY1 Expense Rsv Adj</t>
  </si>
  <si>
    <t>Deferred Policy Acquisition Costs</t>
  </si>
  <si>
    <t>Question LFMU-Q6</t>
  </si>
  <si>
    <t>Benefit and</t>
  </si>
  <si>
    <t>Prospective</t>
  </si>
  <si>
    <t>Retrospective</t>
  </si>
  <si>
    <t>PV</t>
  </si>
  <si>
    <t>Interest Discount Rate</t>
  </si>
  <si>
    <t>Expenses Paid</t>
  </si>
  <si>
    <t>Reserve</t>
  </si>
  <si>
    <t>Benefits and</t>
  </si>
  <si>
    <t>Income as</t>
  </si>
  <si>
    <t>Premium Received  BOY</t>
  </si>
  <si>
    <t>EOY</t>
  </si>
  <si>
    <t>Balance</t>
  </si>
  <si>
    <t>Premiums Received</t>
  </si>
  <si>
    <t>Income</t>
  </si>
  <si>
    <t>% of Premium</t>
  </si>
  <si>
    <t>Income includes investment income.</t>
  </si>
  <si>
    <t>Total Present Value</t>
  </si>
  <si>
    <t>Net Premium Ratio</t>
  </si>
  <si>
    <t>LFPB at year 2</t>
  </si>
  <si>
    <t>(b)</t>
  </si>
  <si>
    <t xml:space="preserve">   Increase Benefits and Expenses Paid in Year 3 by 15%</t>
  </si>
  <si>
    <t>LFPB at year 3</t>
  </si>
  <si>
    <t>Original Reserve at Beginning of Year 3</t>
  </si>
  <si>
    <t>Remeasured Reserve at Beginning of Year 3</t>
  </si>
  <si>
    <t>(C) (i)</t>
  </si>
  <si>
    <t>Remeasurement Loss</t>
  </si>
  <si>
    <t>Remeasured Reserve at End of Year 3</t>
  </si>
  <si>
    <t>(C) (ii)</t>
  </si>
  <si>
    <t>Change in Reserve</t>
  </si>
  <si>
    <t>Benefits and Expenses Paid in Year 3</t>
  </si>
  <si>
    <t>(C) (iii)</t>
  </si>
  <si>
    <t>Total Benefit Expense in Year 3</t>
  </si>
  <si>
    <t>Total Impact to GAAP Income</t>
  </si>
  <si>
    <t>Original Benefits and Expenses Paid in Year 3</t>
  </si>
  <si>
    <t>Revised Benefits and Expenses Paid in Year 3</t>
  </si>
  <si>
    <t>Impact to GAAP Income from Change in Benefits and Expenses Paid in Year 3</t>
  </si>
  <si>
    <t>Original Reserve at End of Year 3</t>
  </si>
  <si>
    <t>Impact to GAAP income due to Original Change in Reserve in Year 3</t>
  </si>
  <si>
    <t>Revised Reserve at End of Year 3</t>
  </si>
  <si>
    <t>Actual Impact to GAAP Income due to Revised Change in Reserve in Year 3</t>
  </si>
  <si>
    <t>Impact to GAAP Income due to Revised Reserves at End of Year 3</t>
  </si>
  <si>
    <t>(C) (iv)</t>
  </si>
  <si>
    <t>Total Impact to GAAP Income in Year 3 (assuming change to investment income = 0)</t>
  </si>
  <si>
    <t>Double-Check on Total Impact to GAAP Income</t>
  </si>
  <si>
    <t>Orignal Reserve at Beginning of Year 3</t>
  </si>
  <si>
    <t>Total Benefits Expense in Year 3 Prior to Change in Assumption</t>
  </si>
  <si>
    <t>Total Benefits Expense in Year 3 After Change in Assumption</t>
  </si>
  <si>
    <r>
      <t>(b)</t>
    </r>
    <r>
      <rPr>
        <strike/>
        <sz val="7"/>
        <color theme="1"/>
        <rFont val="Times New Roman"/>
        <family val="1"/>
      </rPr>
      <t>    </t>
    </r>
    <r>
      <rPr>
        <strike/>
        <sz val="12"/>
        <color theme="1"/>
        <rFont val="Times New Roman"/>
        <family val="1"/>
      </rPr>
      <t>(</t>
    </r>
    <r>
      <rPr>
        <i/>
        <strike/>
        <sz val="12"/>
        <color theme="1"/>
        <rFont val="Times New Roman"/>
        <family val="1"/>
      </rPr>
      <t>3 points</t>
    </r>
    <r>
      <rPr>
        <strike/>
        <sz val="12"/>
        <color theme="1"/>
        <rFont val="Times New Roman"/>
        <family val="1"/>
      </rPr>
      <t>)</t>
    </r>
    <r>
      <rPr>
        <i/>
        <strike/>
        <sz val="12"/>
        <color theme="1"/>
        <rFont val="Times New Roman"/>
        <family val="1"/>
      </rPr>
      <t xml:space="preserve">  </t>
    </r>
    <r>
      <rPr>
        <strike/>
        <sz val="12"/>
        <color theme="1"/>
        <rFont val="Times New Roman"/>
        <family val="1"/>
      </rPr>
      <t xml:space="preserve">Determine whether the Total Ratio and Core Ratio meet the Office of the Superintendent of Financial Institutions (OSFI)’s minimum requirement </t>
    </r>
  </si>
  <si>
    <r>
      <t>·</t>
    </r>
    <r>
      <rPr>
        <strike/>
        <sz val="7"/>
        <color theme="1"/>
        <rFont val="Times New Roman"/>
        <family val="1"/>
      </rPr>
      <t xml:space="preserve">       </t>
    </r>
    <r>
      <rPr>
        <strike/>
        <sz val="12"/>
        <color theme="1"/>
        <rFont val="Times New Roman"/>
        <family val="1"/>
      </rPr>
      <t>Interest rate is 6.75%.</t>
    </r>
  </si>
  <si>
    <r>
      <t>·</t>
    </r>
    <r>
      <rPr>
        <strike/>
        <sz val="7"/>
        <color theme="1"/>
        <rFont val="Times New Roman"/>
        <family val="1"/>
      </rPr>
      <t xml:space="preserve">       </t>
    </r>
    <r>
      <rPr>
        <strike/>
        <sz val="12"/>
        <color theme="1"/>
        <rFont val="Times New Roman"/>
        <family val="1"/>
      </rPr>
      <t>The coinsurance agreement meets the definition of a long-duration contract.</t>
    </r>
  </si>
  <si>
    <r>
      <t>·</t>
    </r>
    <r>
      <rPr>
        <strike/>
        <sz val="7"/>
        <color theme="1"/>
        <rFont val="Times New Roman"/>
        <family val="1"/>
      </rPr>
      <t xml:space="preserve">       </t>
    </r>
    <r>
      <rPr>
        <strike/>
        <sz val="12"/>
        <color theme="1"/>
        <rFont val="Times New Roman"/>
        <family val="1"/>
      </rPr>
      <t>Expect cashflows occurred at end of the year for present value calculations.</t>
    </r>
  </si>
  <si>
    <r>
      <t>(a)</t>
    </r>
    <r>
      <rPr>
        <strike/>
        <sz val="7"/>
        <color theme="1"/>
        <rFont val="Times New Roman"/>
        <family val="1"/>
      </rPr>
      <t>   </t>
    </r>
    <r>
      <rPr>
        <strike/>
        <sz val="12"/>
        <color theme="1"/>
        <rFont val="Times New Roman"/>
        <family val="1"/>
      </rPr>
      <t>(</t>
    </r>
    <r>
      <rPr>
        <i/>
        <strike/>
        <sz val="12"/>
        <color theme="1"/>
        <rFont val="Times New Roman"/>
        <family val="1"/>
      </rPr>
      <t>7 points</t>
    </r>
    <r>
      <rPr>
        <strike/>
        <sz val="12"/>
        <color theme="1"/>
        <rFont val="Times New Roman"/>
        <family val="1"/>
      </rPr>
      <t>)</t>
    </r>
    <r>
      <rPr>
        <i/>
        <strike/>
        <sz val="12"/>
        <color theme="1"/>
        <rFont val="Times New Roman"/>
        <family val="1"/>
      </rPr>
      <t xml:space="preserve">  </t>
    </r>
    <r>
      <rPr>
        <strike/>
        <sz val="12"/>
        <color theme="1"/>
        <rFont val="Times New Roman"/>
        <family val="1"/>
      </rPr>
      <t>Calculate the following as required by FASB ASC 944 (formerly FASB 113) based on TOB’s product cashflow projections:</t>
    </r>
  </si>
  <si>
    <r>
      <t>(iii)</t>
    </r>
    <r>
      <rPr>
        <strike/>
        <sz val="7"/>
        <color theme="1"/>
        <rFont val="Times New Roman"/>
        <family val="1"/>
      </rPr>
      <t xml:space="preserve">             </t>
    </r>
    <r>
      <rPr>
        <strike/>
        <sz val="12"/>
        <color theme="1"/>
        <rFont val="Times New Roman"/>
        <family val="1"/>
      </rPr>
      <t>Cost of Reinsurance after Interest at the end of each year.</t>
    </r>
  </si>
  <si>
    <r>
      <t>(ii)</t>
    </r>
    <r>
      <rPr>
        <strike/>
        <sz val="7"/>
        <color theme="1"/>
        <rFont val="Times New Roman"/>
        <family val="1"/>
      </rPr>
      <t xml:space="preserve">             </t>
    </r>
    <r>
      <rPr>
        <strike/>
        <sz val="12"/>
        <color theme="1"/>
        <rFont val="Times New Roman"/>
        <family val="1"/>
      </rPr>
      <t>Reinsurance Expense Reserve Adjustment at the end of each year.</t>
    </r>
  </si>
  <si>
    <r>
      <t>(i)</t>
    </r>
    <r>
      <rPr>
        <strike/>
        <sz val="7"/>
        <color theme="1"/>
        <rFont val="Times New Roman"/>
        <family val="1"/>
      </rPr>
      <t xml:space="preserve">             </t>
    </r>
    <r>
      <rPr>
        <strike/>
        <sz val="12"/>
        <color theme="1"/>
        <rFont val="Times New Roman"/>
        <family val="1"/>
      </rPr>
      <t>Reinsurance Benefit Reserve Adjustment at the end of each year.</t>
    </r>
  </si>
  <si>
    <r>
      <t>12 points</t>
    </r>
    <r>
      <rPr>
        <strike/>
        <sz val="12"/>
        <color theme="1"/>
        <rFont val="Times New Roman"/>
        <family val="1"/>
      </rPr>
      <t>)</t>
    </r>
    <r>
      <rPr>
        <i/>
        <strike/>
        <sz val="12"/>
        <color theme="1"/>
        <rFont val="Times New Roman"/>
        <family val="1"/>
      </rPr>
      <t xml:space="preserve">  </t>
    </r>
    <r>
      <rPr>
        <strike/>
        <sz val="12"/>
        <color theme="1"/>
        <rFont val="Times New Roman"/>
        <family val="1"/>
      </rPr>
      <t>SJG Life has a block of 5-Year level term insurance policies subject to ASU 2018-12, where all business is assumed to lapse at the end of year 5.  You are given the following information:</t>
    </r>
  </si>
  <si>
    <r>
      <t>·</t>
    </r>
    <r>
      <rPr>
        <strike/>
        <sz val="7"/>
        <color theme="1"/>
        <rFont val="Times New Roman"/>
        <family val="1"/>
      </rPr>
      <t xml:space="preserve">       </t>
    </r>
    <r>
      <rPr>
        <strike/>
        <sz val="12"/>
        <color theme="1"/>
        <rFont val="Times New Roman"/>
        <family val="1"/>
      </rPr>
      <t>Experience over the five years is expected to be as follow:</t>
    </r>
  </si>
  <si>
    <r>
      <t>·</t>
    </r>
    <r>
      <rPr>
        <strike/>
        <sz val="7"/>
        <color theme="1"/>
        <rFont val="Times New Roman"/>
        <family val="1"/>
      </rPr>
      <t xml:space="preserve">       </t>
    </r>
    <r>
      <rPr>
        <strike/>
        <sz val="12"/>
        <color theme="1"/>
        <rFont val="Times New Roman"/>
        <family val="1"/>
      </rPr>
      <t>Discount Rate (locked-in and current are the same for all periods):  5.50%</t>
    </r>
  </si>
  <si>
    <r>
      <t>·</t>
    </r>
    <r>
      <rPr>
        <strike/>
        <sz val="7"/>
        <color theme="1"/>
        <rFont val="Times New Roman"/>
        <family val="1"/>
      </rPr>
      <t xml:space="preserve">       </t>
    </r>
    <r>
      <rPr>
        <strike/>
        <sz val="12"/>
        <color theme="1"/>
        <rFont val="Times New Roman"/>
        <family val="1"/>
      </rPr>
      <t>Premiums are assumed to be paid at the beginning of the year.</t>
    </r>
  </si>
  <si>
    <r>
      <t>·</t>
    </r>
    <r>
      <rPr>
        <strike/>
        <sz val="7"/>
        <color theme="1"/>
        <rFont val="Times New Roman"/>
        <family val="1"/>
      </rPr>
      <t xml:space="preserve">       </t>
    </r>
    <r>
      <rPr>
        <strike/>
        <sz val="12"/>
        <color theme="1"/>
        <rFont val="Times New Roman"/>
        <family val="1"/>
      </rPr>
      <t>Benefits and expenses paid are assumed to be incurred at the end of the year.</t>
    </r>
  </si>
  <si>
    <r>
      <t>(c)</t>
    </r>
    <r>
      <rPr>
        <strike/>
        <sz val="7"/>
        <color theme="1"/>
        <rFont val="Times New Roman"/>
        <family val="1"/>
      </rPr>
      <t xml:space="preserve">            </t>
    </r>
    <r>
      <rPr>
        <strike/>
        <sz val="12"/>
        <color theme="1"/>
        <rFont val="Times New Roman"/>
        <family val="1"/>
      </rPr>
      <t>(</t>
    </r>
    <r>
      <rPr>
        <i/>
        <strike/>
        <sz val="12"/>
        <color theme="1"/>
        <rFont val="Times New Roman"/>
        <family val="1"/>
      </rPr>
      <t>4 points</t>
    </r>
    <r>
      <rPr>
        <strike/>
        <sz val="12"/>
        <color theme="1"/>
        <rFont val="Times New Roman"/>
        <family val="1"/>
      </rPr>
      <t>)  Determine the following impacts to the GAAP income statement in Year 3 due to the revised LFPB:</t>
    </r>
  </si>
  <si>
    <r>
      <t>(iv)</t>
    </r>
    <r>
      <rPr>
        <strike/>
        <sz val="7"/>
        <color theme="1"/>
        <rFont val="Times New Roman"/>
        <family val="1"/>
      </rPr>
      <t xml:space="preserve">          </t>
    </r>
    <r>
      <rPr>
        <strike/>
        <sz val="12"/>
        <color theme="1"/>
        <rFont val="Times New Roman"/>
        <family val="1"/>
      </rPr>
      <t>Change to GAAP income due to revision of assumption (assume change to investment income equals 0)</t>
    </r>
  </si>
  <si>
    <r>
      <t>(iii)</t>
    </r>
    <r>
      <rPr>
        <strike/>
        <sz val="7"/>
        <color theme="1"/>
        <rFont val="Times New Roman"/>
        <family val="1"/>
      </rPr>
      <t xml:space="preserve">         </t>
    </r>
    <r>
      <rPr>
        <strike/>
        <sz val="12"/>
        <color theme="1"/>
        <rFont val="Times New Roman"/>
        <family val="1"/>
      </rPr>
      <t>Total benefit expense</t>
    </r>
  </si>
  <si>
    <r>
      <t>(ii)</t>
    </r>
    <r>
      <rPr>
        <strike/>
        <sz val="7"/>
        <color theme="1"/>
        <rFont val="Times New Roman"/>
        <family val="1"/>
      </rPr>
      <t xml:space="preserve">           </t>
    </r>
    <r>
      <rPr>
        <strike/>
        <sz val="12"/>
        <color theme="1"/>
        <rFont val="Times New Roman"/>
        <family val="1"/>
      </rPr>
      <t>Change in reserves</t>
    </r>
  </si>
  <si>
    <r>
      <t>(i)</t>
    </r>
    <r>
      <rPr>
        <strike/>
        <sz val="7"/>
        <color theme="1"/>
        <rFont val="Times New Roman"/>
        <family val="1"/>
      </rPr>
      <t xml:space="preserve">             </t>
    </r>
    <r>
      <rPr>
        <strike/>
        <sz val="12"/>
        <color theme="1"/>
        <rFont val="Times New Roman"/>
        <family val="1"/>
      </rPr>
      <t>Remeasurement gain or loss</t>
    </r>
  </si>
  <si>
    <r>
      <t>(b)</t>
    </r>
    <r>
      <rPr>
        <strike/>
        <sz val="7"/>
        <color theme="1"/>
        <rFont val="Times New Roman"/>
        <family val="1"/>
      </rPr>
      <t xml:space="preserve">           </t>
    </r>
    <r>
      <rPr>
        <strike/>
        <sz val="12"/>
        <color theme="1"/>
        <rFont val="Times New Roman"/>
        <family val="1"/>
      </rPr>
      <t>(</t>
    </r>
    <r>
      <rPr>
        <i/>
        <strike/>
        <sz val="12"/>
        <color theme="1"/>
        <rFont val="Times New Roman"/>
        <family val="1"/>
      </rPr>
      <t>4 points</t>
    </r>
    <r>
      <rPr>
        <strike/>
        <sz val="12"/>
        <color theme="1"/>
        <rFont val="Times New Roman"/>
        <family val="1"/>
      </rPr>
      <t xml:space="preserve">)  Due to the COVID Pandemic, the actual benefits and expenses/expected benefits and expenses paid ratio in year 3 equaled 115%.  As a result,     </t>
    </r>
  </si>
  <si>
    <r>
      <t>(a)</t>
    </r>
    <r>
      <rPr>
        <strike/>
        <sz val="7"/>
        <color theme="1"/>
        <rFont val="Times New Roman"/>
        <family val="1"/>
      </rPr>
      <t xml:space="preserve">            </t>
    </r>
    <r>
      <rPr>
        <strike/>
        <sz val="12"/>
        <color theme="1"/>
        <rFont val="Times New Roman"/>
        <family val="1"/>
      </rPr>
      <t>(</t>
    </r>
    <r>
      <rPr>
        <i/>
        <strike/>
        <sz val="12"/>
        <color theme="1"/>
        <rFont val="Times New Roman"/>
        <family val="1"/>
      </rPr>
      <t>4 points</t>
    </r>
    <r>
      <rPr>
        <strike/>
        <sz val="12"/>
        <color theme="1"/>
        <rFont val="Times New Roman"/>
        <family val="1"/>
      </rPr>
      <t>)</t>
    </r>
    <r>
      <rPr>
        <i/>
        <strike/>
        <sz val="12"/>
        <color theme="1"/>
        <rFont val="Times New Roman"/>
        <family val="1"/>
      </rPr>
      <t xml:space="preserve"> </t>
    </r>
    <r>
      <rPr>
        <strike/>
        <sz val="12"/>
        <color theme="1"/>
        <rFont val="Times New Roman"/>
        <family val="1"/>
      </rPr>
      <t xml:space="preserve"> Calculate the liability for future policyholder benefits (LFPB) at the end of year 2. </t>
    </r>
  </si>
  <si>
    <r>
      <t>(a)</t>
    </r>
    <r>
      <rPr>
        <strike/>
        <sz val="7"/>
        <color theme="1"/>
        <rFont val="Times New Roman"/>
        <family val="1"/>
      </rPr>
      <t xml:space="preserve">               </t>
    </r>
    <r>
      <rPr>
        <strike/>
        <sz val="12"/>
        <color theme="1"/>
        <rFont val="Times New Roman"/>
        <family val="1"/>
      </rPr>
      <t>(</t>
    </r>
    <r>
      <rPr>
        <i/>
        <strike/>
        <sz val="12"/>
        <color theme="1"/>
        <rFont val="Times New Roman"/>
        <family val="1"/>
      </rPr>
      <t>4 points</t>
    </r>
    <r>
      <rPr>
        <strike/>
        <sz val="12"/>
        <color theme="1"/>
        <rFont val="Times New Roman"/>
        <family val="1"/>
      </rPr>
      <t>)  You are given the following data for a variable life insurance contract:</t>
    </r>
  </si>
  <si>
    <r>
      <t>(</t>
    </r>
    <r>
      <rPr>
        <i/>
        <strike/>
        <sz val="12"/>
        <color theme="1"/>
        <rFont val="Times New Roman"/>
        <family val="1"/>
      </rPr>
      <t>6 points</t>
    </r>
    <r>
      <rPr>
        <strike/>
        <sz val="12"/>
        <color theme="1"/>
        <rFont val="Times New Roman"/>
        <family val="1"/>
      </rPr>
      <t>)  As of the date of purchase, you are given the following information about a collateralized mortgage obligation (CMO) accounted for under U.S. GAAP:</t>
    </r>
  </si>
  <si>
    <r>
      <t>(ii)</t>
    </r>
    <r>
      <rPr>
        <strike/>
        <sz val="7"/>
        <color theme="1"/>
        <rFont val="Times New Roman"/>
        <family val="1"/>
      </rPr>
      <t xml:space="preserve">     </t>
    </r>
    <r>
      <rPr>
        <strike/>
        <sz val="12"/>
        <color theme="1"/>
        <rFont val="Times New Roman"/>
        <family val="1"/>
      </rPr>
      <t>Assume:</t>
    </r>
  </si>
  <si>
    <r>
      <t>·</t>
    </r>
    <r>
      <rPr>
        <strike/>
        <sz val="7"/>
        <color theme="1"/>
        <rFont val="Times New Roman"/>
        <family val="1"/>
      </rPr>
      <t xml:space="preserve">       </t>
    </r>
    <r>
      <rPr>
        <strike/>
        <sz val="12"/>
        <color theme="1"/>
        <rFont val="Times New Roman"/>
        <family val="1"/>
      </rPr>
      <t>No principal payments occur in the first 3 years.</t>
    </r>
  </si>
  <si>
    <r>
      <t>·</t>
    </r>
    <r>
      <rPr>
        <strike/>
        <sz val="7"/>
        <color theme="1"/>
        <rFont val="Times New Roman"/>
        <family val="1"/>
      </rPr>
      <t xml:space="preserve">       </t>
    </r>
    <r>
      <rPr>
        <strike/>
        <sz val="12"/>
        <color theme="1"/>
        <rFont val="Times New Roman"/>
        <family val="1"/>
      </rPr>
      <t>A principal payment of 100,000 occurs in year 4.</t>
    </r>
  </si>
  <si>
    <r>
      <t>·</t>
    </r>
    <r>
      <rPr>
        <strike/>
        <sz val="7"/>
        <color theme="1"/>
        <rFont val="Times New Roman"/>
        <family val="1"/>
      </rPr>
      <t xml:space="preserve">       </t>
    </r>
    <r>
      <rPr>
        <strike/>
        <sz val="12"/>
        <color theme="1"/>
        <rFont val="Times New Roman"/>
        <family val="1"/>
      </rPr>
      <t>Future principal payments at the end of year 4 are forecasted to be 50,000 annually in years 5 to 12.</t>
    </r>
  </si>
  <si>
    <r>
      <t>(i)</t>
    </r>
    <r>
      <rPr>
        <strike/>
        <sz val="7"/>
        <color theme="1"/>
        <rFont val="Times New Roman"/>
        <family val="1"/>
      </rPr>
      <t>    </t>
    </r>
    <r>
      <rPr>
        <strike/>
        <sz val="12"/>
        <color theme="1"/>
        <rFont val="Times New Roman"/>
        <family val="1"/>
      </rPr>
      <t xml:space="preserve">Calculate the expected amount of premium amortization in year 5.  Show all work.  </t>
    </r>
  </si>
  <si>
    <r>
      <t>(c)</t>
    </r>
    <r>
      <rPr>
        <strike/>
        <sz val="7"/>
        <color rgb="FF002060"/>
        <rFont val="Times New Roman"/>
        <family val="1"/>
      </rPr>
      <t>           </t>
    </r>
    <r>
      <rPr>
        <strike/>
        <sz val="12"/>
        <color rgb="FF002060"/>
        <rFont val="Times New Roman"/>
        <family val="1"/>
      </rPr>
      <t xml:space="preserve">AKL is considering buying a block of term life insurance business and selling a block of variable annuity (VA) business.  </t>
    </r>
  </si>
  <si>
    <r>
      <t>(i)</t>
    </r>
    <r>
      <rPr>
        <strike/>
        <sz val="7"/>
        <color rgb="FF002060"/>
        <rFont val="Times New Roman"/>
        <family val="1"/>
      </rPr>
      <t xml:space="preserve">             </t>
    </r>
    <r>
      <rPr>
        <strike/>
        <sz val="12"/>
        <color rgb="FF002060"/>
        <rFont val="Times New Roman"/>
        <family val="1"/>
      </rPr>
      <t>Recommend whether AKL should buy the term life insurance block, sell the variable annuity block, do both or do neither based on the BCAR score only.</t>
    </r>
  </si>
  <si>
    <r>
      <t>(b)</t>
    </r>
    <r>
      <rPr>
        <strike/>
        <sz val="7"/>
        <color rgb="FF002060"/>
        <rFont val="Times New Roman"/>
        <family val="1"/>
      </rPr>
      <t xml:space="preserve">            </t>
    </r>
    <r>
      <rPr>
        <strike/>
        <sz val="12"/>
        <color rgb="FF002060"/>
        <rFont val="Times New Roman"/>
        <family val="1"/>
      </rPr>
      <t>(</t>
    </r>
    <r>
      <rPr>
        <i/>
        <strike/>
        <sz val="12"/>
        <color rgb="FF002060"/>
        <rFont val="Times New Roman"/>
        <family val="1"/>
      </rPr>
      <t>1 point</t>
    </r>
    <r>
      <rPr>
        <strike/>
        <sz val="12"/>
        <color rgb="FF002060"/>
        <rFont val="Times New Roman"/>
        <family val="1"/>
      </rPr>
      <t>)  Calculate the BCAR for AKL.</t>
    </r>
  </si>
  <si>
    <t>QUESTION 1 (b) and (c)</t>
  </si>
  <si>
    <t xml:space="preserve">XYZ Life sells a variable annuity (VA) with a guaranteed minimum death benefit (GMDB) rider and uses the non-option approach to value the market risk benefit (MRB) on the GMDB rider.  </t>
  </si>
  <si>
    <r>
      <t>·</t>
    </r>
    <r>
      <rPr>
        <sz val="7"/>
        <color theme="1"/>
        <rFont val="Times New Roman"/>
        <family val="1"/>
      </rPr>
      <t xml:space="preserve">       </t>
    </r>
    <r>
      <rPr>
        <sz val="12"/>
        <color theme="1"/>
        <rFont val="Times New Roman"/>
        <family val="1"/>
      </rPr>
      <t>Valuation date is the end of year 2</t>
    </r>
  </si>
  <si>
    <r>
      <t>·</t>
    </r>
    <r>
      <rPr>
        <sz val="7"/>
        <color theme="1"/>
        <rFont val="Times New Roman"/>
        <family val="1"/>
      </rPr>
      <t xml:space="preserve">       </t>
    </r>
    <r>
      <rPr>
        <sz val="12"/>
        <color theme="1"/>
        <rFont val="Times New Roman"/>
        <family val="1"/>
      </rPr>
      <t>Two scenarios are adequate for the calculation of the MRB</t>
    </r>
  </si>
  <si>
    <r>
      <t>·</t>
    </r>
    <r>
      <rPr>
        <sz val="7"/>
        <color theme="1"/>
        <rFont val="Times New Roman"/>
        <family val="1"/>
      </rPr>
      <t xml:space="preserve">       </t>
    </r>
    <r>
      <rPr>
        <sz val="12"/>
        <color theme="1"/>
        <rFont val="Times New Roman"/>
        <family val="1"/>
      </rPr>
      <t>The annuity is assumed to surrender after the 10</t>
    </r>
    <r>
      <rPr>
        <vertAlign val="superscript"/>
        <sz val="12"/>
        <color theme="1"/>
        <rFont val="Times New Roman"/>
        <family val="1"/>
      </rPr>
      <t>th</t>
    </r>
    <r>
      <rPr>
        <sz val="12"/>
        <color theme="1"/>
        <rFont val="Times New Roman"/>
        <family val="1"/>
      </rPr>
      <t xml:space="preserve"> year</t>
    </r>
  </si>
  <si>
    <r>
      <t>·</t>
    </r>
    <r>
      <rPr>
        <sz val="7"/>
        <color theme="1"/>
        <rFont val="Times New Roman"/>
        <family val="1"/>
      </rPr>
      <t xml:space="preserve">       </t>
    </r>
    <r>
      <rPr>
        <sz val="12"/>
        <color theme="1"/>
        <rFont val="Times New Roman"/>
        <family val="1"/>
      </rPr>
      <t>Fees are collected at the beginning of each year</t>
    </r>
  </si>
  <si>
    <r>
      <t>·</t>
    </r>
    <r>
      <rPr>
        <sz val="7"/>
        <color theme="1"/>
        <rFont val="Times New Roman"/>
        <family val="1"/>
      </rPr>
      <t xml:space="preserve">       </t>
    </r>
    <r>
      <rPr>
        <sz val="12"/>
        <color theme="1"/>
        <rFont val="Times New Roman"/>
        <family val="1"/>
      </rPr>
      <t>Projected account values and minimum death benefit values are at the end of the year, and all death benefits are paid at the end of the year</t>
    </r>
  </si>
  <si>
    <r>
      <t>·</t>
    </r>
    <r>
      <rPr>
        <sz val="7"/>
        <color theme="1"/>
        <rFont val="Times New Roman"/>
        <family val="1"/>
      </rPr>
      <t xml:space="preserve">       </t>
    </r>
    <r>
      <rPr>
        <sz val="12"/>
        <color theme="1"/>
        <rFont val="Times New Roman"/>
        <family val="1"/>
      </rPr>
      <t>Within the year, mortality is assumed to occur before other decrements are considered</t>
    </r>
  </si>
  <si>
    <r>
      <t>·</t>
    </r>
    <r>
      <rPr>
        <sz val="7"/>
        <color theme="1"/>
        <rFont val="Times New Roman"/>
        <family val="1"/>
      </rPr>
      <t xml:space="preserve">       </t>
    </r>
    <r>
      <rPr>
        <sz val="12"/>
        <color theme="1"/>
        <rFont val="Times New Roman"/>
        <family val="1"/>
      </rPr>
      <t>Persistency shown includes the effect of all decrements</t>
    </r>
  </si>
  <si>
    <t>Mortality and Interest Assumptions</t>
  </si>
  <si>
    <t>At-issue</t>
  </si>
  <si>
    <t>At the end of year 2</t>
  </si>
  <si>
    <t>Mortality Rate</t>
  </si>
  <si>
    <t>Persistency</t>
  </si>
  <si>
    <t>Risk-Free Rate</t>
  </si>
  <si>
    <t>Own Credit</t>
  </si>
  <si>
    <t>Projection at-issue, without decrements</t>
  </si>
  <si>
    <t>Scenario 1</t>
  </si>
  <si>
    <t>Scenario 2</t>
  </si>
  <si>
    <t>Account Value</t>
  </si>
  <si>
    <t>Guaranteed Minimum Death Benefit</t>
  </si>
  <si>
    <t>Fees Collected</t>
  </si>
  <si>
    <t>Projection at the end of year 2 (with actual experience included), without decrements</t>
  </si>
  <si>
    <r>
      <t>(b)</t>
    </r>
    <r>
      <rPr>
        <sz val="7"/>
        <color theme="1"/>
        <rFont val="Times New Roman"/>
        <family val="1"/>
      </rPr>
      <t xml:space="preserve">            </t>
    </r>
    <r>
      <rPr>
        <sz val="12"/>
        <color theme="1"/>
        <rFont val="Times New Roman"/>
        <family val="1"/>
      </rPr>
      <t>(</t>
    </r>
    <r>
      <rPr>
        <i/>
        <sz val="12"/>
        <color theme="1"/>
        <rFont val="Times New Roman"/>
        <family val="1"/>
      </rPr>
      <t>5 points</t>
    </r>
    <r>
      <rPr>
        <sz val="12"/>
        <color theme="1"/>
        <rFont val="Times New Roman"/>
        <family val="1"/>
      </rPr>
      <t xml:space="preserve">)  Calculate the GMDB Market Risk Benefit (MRB) liability at the valuation date.  Show all work.  </t>
    </r>
  </si>
  <si>
    <r>
      <t>(c)</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xml:space="preserve">)  Calculate the Accumulated Other Comprehensive Income (AOCI) at the valuation date.  Show all work.  </t>
    </r>
  </si>
  <si>
    <t>QUESTION 2 (a) i, ii</t>
  </si>
  <si>
    <t>Responses for part (a)i and (a)ii are to be provided in this tab.</t>
  </si>
  <si>
    <r>
      <t>(a)</t>
    </r>
    <r>
      <rPr>
        <sz val="7"/>
        <color theme="1"/>
        <rFont val="Times New Roman"/>
        <family val="1"/>
      </rPr>
      <t>       </t>
    </r>
    <r>
      <rPr>
        <sz val="12"/>
        <color theme="1"/>
        <rFont val="Times New Roman"/>
        <family val="1"/>
      </rPr>
      <t>(</t>
    </r>
    <r>
      <rPr>
        <i/>
        <sz val="12"/>
        <color rgb="FF000000"/>
        <rFont val="Times New Roman"/>
        <family val="1"/>
      </rPr>
      <t>4</t>
    </r>
    <r>
      <rPr>
        <i/>
        <sz val="12"/>
        <color theme="1"/>
        <rFont val="Times New Roman"/>
        <family val="1"/>
      </rPr>
      <t xml:space="preserve"> points</t>
    </r>
    <r>
      <rPr>
        <sz val="12"/>
        <color theme="1"/>
        <rFont val="Times New Roman"/>
        <family val="1"/>
      </rPr>
      <t xml:space="preserve">)  For the new LTC product, you are given:  </t>
    </r>
  </si>
  <si>
    <t xml:space="preserve">Claim projections </t>
  </si>
  <si>
    <t>Incurral Year</t>
  </si>
  <si>
    <t xml:space="preserve">             -   </t>
  </si>
  <si>
    <r>
      <rPr>
        <sz val="7"/>
        <color theme="1"/>
        <rFont val="Times New Roman"/>
        <family val="1"/>
      </rPr>
      <t xml:space="preserve">   </t>
    </r>
    <r>
      <rPr>
        <b/>
        <sz val="12"/>
        <color theme="1"/>
        <rFont val="Times New Roman"/>
        <family val="1"/>
      </rPr>
      <t>Corporate Bond Yield Curve</t>
    </r>
  </si>
  <si>
    <t>Moody's rating</t>
  </si>
  <si>
    <t>Curve</t>
  </si>
  <si>
    <t>Prime</t>
  </si>
  <si>
    <t>Spot</t>
  </si>
  <si>
    <t>High Grade</t>
  </si>
  <si>
    <t>Upper Medium</t>
  </si>
  <si>
    <t>Forward</t>
  </si>
  <si>
    <r>
      <t>(i)</t>
    </r>
    <r>
      <rPr>
        <sz val="7"/>
        <color theme="1"/>
        <rFont val="Times New Roman"/>
        <family val="1"/>
      </rPr>
      <t xml:space="preserve">             </t>
    </r>
    <r>
      <rPr>
        <sz val="12"/>
        <color theme="1"/>
        <rFont val="Times New Roman"/>
        <family val="1"/>
      </rPr>
      <t xml:space="preserve">Calculate the claim reserve under US GAAP for year 1 and 2 using the spot rate locked in at issue.  Show all work. </t>
    </r>
  </si>
  <si>
    <r>
      <t>(ii)</t>
    </r>
    <r>
      <rPr>
        <sz val="7"/>
        <color theme="1"/>
        <rFont val="Times New Roman"/>
        <family val="1"/>
      </rPr>
      <t xml:space="preserve">           </t>
    </r>
    <r>
      <rPr>
        <sz val="12"/>
        <color theme="1"/>
        <rFont val="Times New Roman"/>
        <family val="1"/>
      </rPr>
      <t xml:space="preserve">Calculate the claim reserve under US GAAP for year 1 and 2 using the forward rate locked in at issue.  Show all work.  </t>
    </r>
  </si>
  <si>
    <t xml:space="preserve">QUESTION 3 (c) </t>
  </si>
  <si>
    <t>(c) (2 points)  Complete Table B given the data in Table A.  Show all work.</t>
  </si>
  <si>
    <t>Table A:  Spread Components Related to Each Risk</t>
  </si>
  <si>
    <t>Spread Components Related to Each Risk</t>
  </si>
  <si>
    <t>Asset Type</t>
  </si>
  <si>
    <t>Net Market Spread</t>
  </si>
  <si>
    <t>Factor A</t>
  </si>
  <si>
    <t>Factor B</t>
  </si>
  <si>
    <t>Factor C</t>
  </si>
  <si>
    <t>Factor D</t>
  </si>
  <si>
    <t>Other Factors/ Unallocated</t>
  </si>
  <si>
    <t>Investment Grade Net Spread Benchmark</t>
  </si>
  <si>
    <t>Asset Class 1</t>
  </si>
  <si>
    <t>Asset Class 2</t>
  </si>
  <si>
    <t>Table B: Excess Spread Components Related to Each Risk</t>
  </si>
  <si>
    <t>Excess Spread Components Related to Each Risk</t>
  </si>
  <si>
    <t>Guideline Excess Spread</t>
  </si>
  <si>
    <t>Responses for parts (a), (c), and (d) are to be provided in the Word document.</t>
  </si>
  <si>
    <r>
      <t>(b)</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Calculate the Scenario Reserve given the projected scenario below. Show all work.</t>
    </r>
  </si>
  <si>
    <t>Statement Value of Assets (000s)</t>
  </si>
  <si>
    <t>One-Year Treasury Rate  (%)</t>
  </si>
  <si>
    <t>QUESTION 5 (c) i,ii,iii</t>
  </si>
  <si>
    <t>Responses for parts (a), (b), and (c)iv are to be provided in the Word document.</t>
  </si>
  <si>
    <t>Responses for part ( c ) i,ii, and iii are to be provided in this tab.</t>
  </si>
  <si>
    <t xml:space="preserve">You are given the following information on a block of whole life business at issue:  </t>
  </si>
  <si>
    <t>PV premium (millions)</t>
  </si>
  <si>
    <t>PV claims (millions)</t>
  </si>
  <si>
    <t>IFRS 17 Risk Adjustment (millions)</t>
  </si>
  <si>
    <t>PV expenses (millions)</t>
  </si>
  <si>
    <t>A</t>
  </si>
  <si>
    <t>B</t>
  </si>
  <si>
    <t>QUESTION 6 (a), (b), ( c ) i,ii</t>
  </si>
  <si>
    <t>Responses for part (c) iii are to be provided in the Word document.</t>
  </si>
  <si>
    <t>Responses for parts (a), (b), and ( c ) i,ii are to be provided in this tab.</t>
  </si>
  <si>
    <r>
      <t>(a)</t>
    </r>
    <r>
      <rPr>
        <sz val="7"/>
        <color theme="1"/>
        <rFont val="Times New Roman"/>
        <family val="1"/>
      </rPr>
      <t xml:space="preserve">            </t>
    </r>
    <r>
      <rPr>
        <sz val="12"/>
        <color theme="1"/>
        <rFont val="Times New Roman"/>
        <family val="1"/>
      </rPr>
      <t>(</t>
    </r>
    <r>
      <rPr>
        <i/>
        <sz val="12"/>
        <color theme="1"/>
        <rFont val="Times New Roman"/>
        <family val="1"/>
      </rPr>
      <t>3 points</t>
    </r>
    <r>
      <rPr>
        <sz val="12"/>
        <color theme="1"/>
        <rFont val="Times New Roman"/>
        <family val="1"/>
      </rPr>
      <t xml:space="preserve">)  </t>
    </r>
    <r>
      <rPr>
        <sz val="12"/>
        <color rgb="FF000000"/>
        <rFont val="Times New Roman"/>
        <family val="1"/>
      </rPr>
      <t xml:space="preserve">You are given the following information on an individual whole life policy as of 12/31/2023.  </t>
    </r>
  </si>
  <si>
    <t>Mean reserve (includes deficiency reserves)</t>
  </si>
  <si>
    <t>Valuation premium</t>
  </si>
  <si>
    <t>Deficiency reserve</t>
  </si>
  <si>
    <t>Supplemental benefit reserve</t>
  </si>
  <si>
    <t>Policy Mean Reserve</t>
  </si>
  <si>
    <t>Semi Continuous Reserve Method assuming an Annual Valuation Mode</t>
  </si>
  <si>
    <t>Policy premium mode</t>
  </si>
  <si>
    <t>monthly</t>
  </si>
  <si>
    <t xml:space="preserve">Calculate the tax reserve for the policy as of 12/31/2023.  Show all work.  </t>
  </si>
  <si>
    <t xml:space="preserve">You are given the following information for a universal life policy:  </t>
  </si>
  <si>
    <t>Minimum guarantee rate</t>
  </si>
  <si>
    <t>Issue age</t>
  </si>
  <si>
    <t>Premium expense load</t>
  </si>
  <si>
    <t>Present value of death benefits</t>
  </si>
  <si>
    <t>Present value of expenses</t>
  </si>
  <si>
    <t xml:space="preserve">Calculate the following:  </t>
  </si>
  <si>
    <t>Show all work.</t>
  </si>
  <si>
    <t>Policy Year</t>
  </si>
  <si>
    <t>Premium Paid</t>
  </si>
  <si>
    <t xml:space="preserve">(ii)   Determine whether the policy is a modified endowment contract.  Show all work.  </t>
  </si>
  <si>
    <t>QUESTION 8 (a) ii and (b)</t>
  </si>
  <si>
    <t>Responses for part (a) i and ( c ) are to be provided in the Word document.</t>
  </si>
  <si>
    <t>Responses for parts (a) ii and (b) are to be provided in this tab.</t>
  </si>
  <si>
    <t xml:space="preserve">You are given:  </t>
  </si>
  <si>
    <t>(ii)  Calculate the range of appraisal value of ELF Insurance.  Show all work.</t>
  </si>
  <si>
    <r>
      <t>(b)</t>
    </r>
    <r>
      <rPr>
        <sz val="7"/>
        <color theme="1"/>
        <rFont val="Times New Roman"/>
        <family val="1"/>
      </rPr>
      <t>    </t>
    </r>
    <r>
      <rPr>
        <sz val="12"/>
        <color theme="1"/>
        <rFont val="Times New Roman"/>
        <family val="1"/>
      </rPr>
      <t>(</t>
    </r>
    <r>
      <rPr>
        <i/>
        <sz val="12"/>
        <color theme="1"/>
        <rFont val="Times New Roman"/>
        <family val="1"/>
      </rPr>
      <t>5 points</t>
    </r>
    <r>
      <rPr>
        <sz val="12"/>
        <color theme="1"/>
        <rFont val="Times New Roman"/>
        <family val="1"/>
      </rPr>
      <t xml:space="preserve">)  You are given the following statutory projection:  </t>
    </r>
  </si>
  <si>
    <t>12/2023</t>
  </si>
  <si>
    <t>12/2024</t>
  </si>
  <si>
    <t>12/2025</t>
  </si>
  <si>
    <t>12/2026</t>
  </si>
  <si>
    <t>12/2027</t>
  </si>
  <si>
    <t>12/2028</t>
  </si>
  <si>
    <t>Investment Income (all assets)</t>
  </si>
  <si>
    <t>Commissions</t>
  </si>
  <si>
    <t>Statutory Reserves</t>
  </si>
  <si>
    <t>Total Required Capital</t>
  </si>
  <si>
    <t xml:space="preserve">Assuming:  </t>
  </si>
  <si>
    <t>Pre-tax earned rate</t>
  </si>
  <si>
    <t>Tax rate</t>
  </si>
  <si>
    <t>Free surplus</t>
  </si>
  <si>
    <t>Risk discount rate</t>
  </si>
  <si>
    <t xml:space="preserve">Taxable incomes equal to pre-tax earnings.  </t>
  </si>
  <si>
    <r>
      <t>(i)</t>
    </r>
    <r>
      <rPr>
        <sz val="7"/>
        <color theme="1"/>
        <rFont val="Times New Roman"/>
        <family val="1"/>
      </rPr>
      <t xml:space="preserve">             </t>
    </r>
    <r>
      <rPr>
        <sz val="12"/>
        <color theme="1"/>
        <rFont val="Times New Roman"/>
        <family val="1"/>
      </rPr>
      <t>Book profit</t>
    </r>
  </si>
  <si>
    <r>
      <t>(ii)</t>
    </r>
    <r>
      <rPr>
        <sz val="7"/>
        <color theme="1"/>
        <rFont val="Times New Roman"/>
        <family val="1"/>
      </rPr>
      <t xml:space="preserve">           </t>
    </r>
    <r>
      <rPr>
        <sz val="12"/>
        <color theme="1"/>
        <rFont val="Times New Roman"/>
        <family val="1"/>
      </rPr>
      <t>Cost of Capital</t>
    </r>
  </si>
  <si>
    <r>
      <t>(iii)</t>
    </r>
    <r>
      <rPr>
        <sz val="7"/>
        <color theme="1"/>
        <rFont val="Times New Roman"/>
        <family val="1"/>
      </rPr>
      <t xml:space="preserve">         </t>
    </r>
    <r>
      <rPr>
        <sz val="12"/>
        <color theme="1"/>
        <rFont val="Times New Roman"/>
        <family val="1"/>
      </rPr>
      <t>Inforce Business Value</t>
    </r>
  </si>
  <si>
    <r>
      <t>(iv)</t>
    </r>
    <r>
      <rPr>
        <sz val="7"/>
        <color theme="1"/>
        <rFont val="Times New Roman"/>
        <family val="1"/>
      </rPr>
      <t xml:space="preserve">          </t>
    </r>
    <r>
      <rPr>
        <sz val="12"/>
        <color theme="1"/>
        <rFont val="Times New Roman"/>
        <family val="1"/>
      </rPr>
      <t xml:space="preserve">Embedded Value </t>
    </r>
  </si>
  <si>
    <t xml:space="preserve">QUESTION 9 (a) </t>
  </si>
  <si>
    <t>Responses for parts (b) and ( c ) are to be provided in the Word document.</t>
  </si>
  <si>
    <t>Annual premium</t>
  </si>
  <si>
    <t>Interest rates</t>
  </si>
  <si>
    <t>Decrements</t>
  </si>
  <si>
    <t>Policies sold</t>
  </si>
  <si>
    <t>Total maintenance expenses per year</t>
  </si>
  <si>
    <t>Total claims per year</t>
  </si>
  <si>
    <t>Total risk adjustment per year</t>
  </si>
  <si>
    <t>Information Provided to Candidate</t>
  </si>
  <si>
    <t>Calculations to be performed</t>
  </si>
  <si>
    <t>As of issue</t>
  </si>
  <si>
    <t>Solution</t>
  </si>
  <si>
    <t>Fees collected @ BOY</t>
  </si>
  <si>
    <t>Death benefit paid @ EOY</t>
  </si>
  <si>
    <t>Account value released at death</t>
  </si>
  <si>
    <t>Excess benefit</t>
  </si>
  <si>
    <t>PV benefit</t>
  </si>
  <si>
    <t>PV fee</t>
  </si>
  <si>
    <t>Discount rate including own credit risk (same at all dates)</t>
  </si>
  <si>
    <t>Average of PV benefit</t>
  </si>
  <si>
    <t>Average of PV fee</t>
  </si>
  <si>
    <t>Attributed fee %</t>
  </si>
  <si>
    <t>As of end of year 2</t>
  </si>
  <si>
    <t>Lockedin own credit</t>
  </si>
  <si>
    <t>Updated own credit</t>
  </si>
  <si>
    <t>Discount rate w original own-credit</t>
  </si>
  <si>
    <t>Discount rate w updated own-credit</t>
  </si>
  <si>
    <t>with locked in NPR</t>
  </si>
  <si>
    <t>with updated NPR</t>
  </si>
  <si>
    <t>MRB at the end of year 2:</t>
  </si>
  <si>
    <t>part b) final result</t>
  </si>
  <si>
    <t>part c) final result</t>
  </si>
  <si>
    <t>AOCI</t>
  </si>
  <si>
    <t xml:space="preserve">One-Year Treasury Rate </t>
  </si>
  <si>
    <t>(1) Statement Value of Assets</t>
  </si>
  <si>
    <t>(2) Negative of the Statement Value of Assets = -1 * (1)</t>
  </si>
  <si>
    <t>(3) One-Year Treasury Rate (BOY)</t>
  </si>
  <si>
    <t>(4) Treasury Rate x 105%        (3) * 1.05</t>
  </si>
  <si>
    <t>(5)  Discount Factor 1/[1+(4)]</t>
  </si>
  <si>
    <t>(6) Accumulative Discount Factor</t>
  </si>
  <si>
    <t>(7) Discounted Negative Accumulated Deficiency (2)*(6)</t>
  </si>
  <si>
    <t>(8) GPVAD [Max (7)]</t>
  </si>
  <si>
    <t>(9) Scenario Reserve (Starting Asset + GPVAD)</t>
  </si>
  <si>
    <r>
      <t>(c)</t>
    </r>
    <r>
      <rPr>
        <strike/>
        <sz val="7"/>
        <color theme="1"/>
        <rFont val="Times New Roman"/>
        <family val="1"/>
      </rPr>
      <t xml:space="preserve">    </t>
    </r>
    <r>
      <rPr>
        <strike/>
        <sz val="12"/>
        <color theme="1"/>
        <rFont val="Times New Roman"/>
        <family val="1"/>
      </rPr>
      <t>(</t>
    </r>
    <r>
      <rPr>
        <i/>
        <strike/>
        <sz val="12"/>
        <color theme="1"/>
        <rFont val="Times New Roman"/>
        <family val="1"/>
      </rPr>
      <t>5 points</t>
    </r>
    <r>
      <rPr>
        <strike/>
        <sz val="12"/>
        <color theme="1"/>
        <rFont val="Times New Roman"/>
        <family val="1"/>
      </rPr>
      <t xml:space="preserve">)  PGY Group’s management will strategically assign a legal entity for each block of business to be reported through, with the goal of optimizing profit and capital.  </t>
    </r>
  </si>
  <si>
    <r>
      <t>(i)</t>
    </r>
    <r>
      <rPr>
        <strike/>
        <sz val="7"/>
        <color theme="1"/>
        <rFont val="Times New Roman"/>
        <family val="1"/>
      </rPr>
      <t>    </t>
    </r>
    <r>
      <rPr>
        <strike/>
        <sz val="12"/>
        <color theme="1"/>
        <rFont val="Times New Roman"/>
        <family val="1"/>
      </rPr>
      <t xml:space="preserve">Calculate the GAAP liability for each plan.  Show all work.  </t>
    </r>
  </si>
  <si>
    <r>
      <t>(ii)</t>
    </r>
    <r>
      <rPr>
        <strike/>
        <sz val="7"/>
        <color theme="1"/>
        <rFont val="Times New Roman"/>
        <family val="1"/>
      </rPr>
      <t xml:space="preserve">           </t>
    </r>
    <r>
      <rPr>
        <strike/>
        <sz val="12"/>
        <color theme="1"/>
        <rFont val="Times New Roman"/>
        <family val="1"/>
      </rPr>
      <t xml:space="preserve">Calculate the IFRS 17 Fulfillment Cashflow for each plan.  Show all work.  </t>
    </r>
  </si>
  <si>
    <r>
      <t>(iii)</t>
    </r>
    <r>
      <rPr>
        <strike/>
        <sz val="7"/>
        <color theme="1"/>
        <rFont val="Times New Roman"/>
        <family val="1"/>
      </rPr>
      <t xml:space="preserve">         </t>
    </r>
    <r>
      <rPr>
        <strike/>
        <sz val="12"/>
        <color theme="1"/>
        <rFont val="Times New Roman"/>
        <family val="1"/>
      </rPr>
      <t>Calculate the IFRS 17 Contractual Service Margin for each plan.  Show all work.</t>
    </r>
  </si>
  <si>
    <t>PART (b) NO LONGER RELEVANT</t>
  </si>
  <si>
    <r>
      <t>(b)</t>
    </r>
    <r>
      <rPr>
        <strike/>
        <sz val="7"/>
        <color theme="1"/>
        <rFont val="Times New Roman"/>
        <family val="1"/>
      </rPr>
      <t xml:space="preserve">            </t>
    </r>
    <r>
      <rPr>
        <strike/>
        <sz val="12"/>
        <color rgb="FF000000"/>
        <rFont val="Times New Roman"/>
        <family val="1"/>
      </rPr>
      <t>(</t>
    </r>
    <r>
      <rPr>
        <i/>
        <strike/>
        <sz val="12"/>
        <color theme="1"/>
        <rFont val="Times New Roman"/>
        <family val="1"/>
      </rPr>
      <t>3 points</t>
    </r>
    <r>
      <rPr>
        <strike/>
        <sz val="12"/>
        <color rgb="FF000000"/>
        <rFont val="Times New Roman"/>
        <family val="1"/>
      </rPr>
      <t>)</t>
    </r>
  </si>
  <si>
    <r>
      <t>(i)</t>
    </r>
    <r>
      <rPr>
        <strike/>
        <sz val="7"/>
        <color rgb="FF000000"/>
        <rFont val="Times New Roman"/>
        <family val="1"/>
      </rPr>
      <t xml:space="preserve">             </t>
    </r>
    <r>
      <rPr>
        <strike/>
        <sz val="12"/>
        <color rgb="FF000000"/>
        <rFont val="Times New Roman"/>
        <family val="1"/>
      </rPr>
      <t>Initial Cash Value Accumulation Test Net Single Premium</t>
    </r>
  </si>
  <si>
    <r>
      <t>(ii)</t>
    </r>
    <r>
      <rPr>
        <strike/>
        <sz val="7"/>
        <color rgb="FF000000"/>
        <rFont val="Times New Roman"/>
        <family val="1"/>
      </rPr>
      <t xml:space="preserve">           </t>
    </r>
    <r>
      <rPr>
        <strike/>
        <sz val="12"/>
        <color rgb="FF000000"/>
        <rFont val="Times New Roman"/>
        <family val="1"/>
      </rPr>
      <t>Guideline Level Premium</t>
    </r>
  </si>
  <si>
    <r>
      <t>(iii)</t>
    </r>
    <r>
      <rPr>
        <strike/>
        <sz val="7"/>
        <color rgb="FF000000"/>
        <rFont val="Times New Roman"/>
        <family val="1"/>
      </rPr>
      <t xml:space="preserve">         </t>
    </r>
    <r>
      <rPr>
        <strike/>
        <sz val="12"/>
        <color rgb="FF000000"/>
        <rFont val="Times New Roman"/>
        <family val="1"/>
      </rPr>
      <t>Guideline Single Premium</t>
    </r>
  </si>
  <si>
    <r>
      <t>(iv)</t>
    </r>
    <r>
      <rPr>
        <strike/>
        <sz val="7"/>
        <color rgb="FF000000"/>
        <rFont val="Times New Roman"/>
        <family val="1"/>
      </rPr>
      <t xml:space="preserve">          </t>
    </r>
    <r>
      <rPr>
        <strike/>
        <sz val="12"/>
        <color rgb="FF000000"/>
        <rFont val="Times New Roman"/>
        <family val="1"/>
      </rPr>
      <t>7-Pay Premium</t>
    </r>
  </si>
  <si>
    <r>
      <t>(c)</t>
    </r>
    <r>
      <rPr>
        <strike/>
        <sz val="7"/>
        <color theme="1"/>
        <rFont val="Times New Roman"/>
        <family val="1"/>
      </rPr>
      <t xml:space="preserve">   </t>
    </r>
    <r>
      <rPr>
        <strike/>
        <sz val="12"/>
        <color rgb="FF000000"/>
        <rFont val="Times New Roman"/>
        <family val="1"/>
      </rPr>
      <t>(</t>
    </r>
    <r>
      <rPr>
        <i/>
        <strike/>
        <sz val="12"/>
        <color rgb="FF000000"/>
        <rFont val="Times New Roman"/>
        <family val="1"/>
      </rPr>
      <t>3 points</t>
    </r>
    <r>
      <rPr>
        <strike/>
        <sz val="12"/>
        <color rgb="FF000000"/>
        <rFont val="Times New Roman"/>
        <family val="1"/>
      </rPr>
      <t xml:space="preserve">)  Using information from (b), you are given additional information about actual premium payments:  </t>
    </r>
  </si>
  <si>
    <r>
      <t>(i)</t>
    </r>
    <r>
      <rPr>
        <strike/>
        <sz val="7"/>
        <color rgb="FF000000"/>
        <rFont val="Times New Roman"/>
        <family val="1"/>
      </rPr>
      <t xml:space="preserve">             </t>
    </r>
    <r>
      <rPr>
        <strike/>
        <sz val="12"/>
        <color rgb="FF000000"/>
        <rFont val="Times New Roman"/>
        <family val="1"/>
      </rPr>
      <t xml:space="preserve">Determine whether the policy qualifies as life insurance using the guideline premium test.  Show all work.  </t>
    </r>
  </si>
  <si>
    <r>
      <t>(a)</t>
    </r>
    <r>
      <rPr>
        <strike/>
        <sz val="7"/>
        <color theme="1"/>
        <rFont val="Times New Roman"/>
        <family val="1"/>
      </rPr>
      <t xml:space="preserve">   </t>
    </r>
    <r>
      <rPr>
        <strike/>
        <sz val="12"/>
        <color theme="1"/>
        <rFont val="Times New Roman"/>
        <family val="1"/>
      </rPr>
      <t>(</t>
    </r>
    <r>
      <rPr>
        <i/>
        <strike/>
        <sz val="12"/>
        <color theme="1"/>
        <rFont val="Times New Roman"/>
        <family val="1"/>
      </rPr>
      <t>2 points</t>
    </r>
    <r>
      <rPr>
        <strike/>
        <sz val="12"/>
        <color theme="1"/>
        <rFont val="Times New Roman"/>
        <family val="1"/>
      </rPr>
      <t xml:space="preserve">)  CWY hired an investment bank to use the Comparable Company Analysis technique to generate a range of appraisal values for ELF.  </t>
    </r>
  </si>
  <si>
    <r>
      <t>·</t>
    </r>
    <r>
      <rPr>
        <strike/>
        <sz val="7"/>
        <color theme="1"/>
        <rFont val="Times New Roman"/>
        <family val="1"/>
      </rPr>
      <t xml:space="preserve">       </t>
    </r>
    <r>
      <rPr>
        <strike/>
        <sz val="12"/>
        <color theme="1"/>
        <rFont val="Times New Roman"/>
        <family val="1"/>
      </rPr>
      <t xml:space="preserve">price-to-book value multiples ranging from 1.1 to 1.8 </t>
    </r>
  </si>
  <si>
    <r>
      <t>·</t>
    </r>
    <r>
      <rPr>
        <strike/>
        <sz val="7"/>
        <color theme="1"/>
        <rFont val="Times New Roman"/>
        <family val="1"/>
      </rPr>
      <t xml:space="preserve">       </t>
    </r>
    <r>
      <rPr>
        <strike/>
        <sz val="12"/>
        <color theme="1"/>
        <rFont val="Times New Roman"/>
        <family val="1"/>
      </rPr>
      <t>a change of control premium of 15%</t>
    </r>
  </si>
  <si>
    <r>
      <t>·</t>
    </r>
    <r>
      <rPr>
        <strike/>
        <sz val="7"/>
        <color theme="1"/>
        <rFont val="Times New Roman"/>
        <family val="1"/>
      </rPr>
      <t xml:space="preserve">       </t>
    </r>
    <r>
      <rPr>
        <strike/>
        <sz val="12"/>
        <color theme="1"/>
        <rFont val="Times New Roman"/>
        <family val="1"/>
      </rPr>
      <t>ELF’s current book value is 1000</t>
    </r>
  </si>
  <si>
    <t>List formulas:</t>
  </si>
  <si>
    <r>
      <t>(a)</t>
    </r>
    <r>
      <rPr>
        <strike/>
        <sz val="7"/>
        <color theme="1"/>
        <rFont val="Times New Roman"/>
        <family val="1"/>
      </rPr>
      <t xml:space="preserve">       </t>
    </r>
    <r>
      <rPr>
        <strike/>
        <sz val="12"/>
        <color rgb="FF000000"/>
        <rFont val="Times New Roman"/>
        <family val="1"/>
      </rPr>
      <t>(</t>
    </r>
    <r>
      <rPr>
        <i/>
        <strike/>
        <sz val="12"/>
        <color rgb="FF000000"/>
        <rFont val="Times New Roman"/>
        <family val="1"/>
      </rPr>
      <t>3 points</t>
    </r>
    <r>
      <rPr>
        <strike/>
        <sz val="12"/>
        <color rgb="FF000000"/>
        <rFont val="Times New Roman"/>
        <family val="1"/>
      </rPr>
      <t xml:space="preserve">)  </t>
    </r>
    <r>
      <rPr>
        <strike/>
        <sz val="12"/>
        <color theme="1"/>
        <rFont val="Times New Roman"/>
        <family val="1"/>
      </rPr>
      <t xml:space="preserve">You are given the following information on a block of 5-year term life insurance policies:  </t>
    </r>
  </si>
  <si>
    <r>
      <t>Calculate the IFRS 17 liability components on initial recognition.  Show all work</t>
    </r>
    <r>
      <rPr>
        <strike/>
        <sz val="12"/>
        <color rgb="FFFF0000"/>
        <rFont val="Times New Roman"/>
        <family val="1"/>
      </rPr>
      <t xml:space="preserve">.  </t>
    </r>
  </si>
  <si>
    <r>
      <t>(ii)</t>
    </r>
    <r>
      <rPr>
        <sz val="7"/>
        <color theme="1"/>
        <rFont val="Times New Roman"/>
        <family val="1"/>
      </rPr>
      <t xml:space="preserve">           </t>
    </r>
    <r>
      <rPr>
        <sz val="12"/>
        <color theme="1"/>
        <rFont val="Times New Roman"/>
        <family val="1"/>
      </rPr>
      <t>(</t>
    </r>
    <r>
      <rPr>
        <i/>
        <sz val="12"/>
        <color theme="1"/>
        <rFont val="Times New Roman"/>
        <family val="1"/>
      </rPr>
      <t>4 points</t>
    </r>
    <r>
      <rPr>
        <sz val="12"/>
        <color theme="1"/>
        <rFont val="Times New Roman"/>
        <family val="1"/>
      </rPr>
      <t>)  Calculate the proportion of unallocated risk capital for MGP at the end of the second year.</t>
    </r>
  </si>
  <si>
    <r>
      <t>(i)</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Calculate the variance of business profits of a portfolio consisting of mutual funds and segregated funds.</t>
    </r>
  </si>
  <si>
    <t>1 &amp; 2 &amp; 3 &amp; 4</t>
  </si>
  <si>
    <t>2 &amp; 3 &amp; 4</t>
  </si>
  <si>
    <t>1 &amp; 3 &amp; 4</t>
  </si>
  <si>
    <t>1 &amp; 2 &amp; 4</t>
  </si>
  <si>
    <t>1 &amp; 2 &amp; 3</t>
  </si>
  <si>
    <t>Term Life (4)</t>
  </si>
  <si>
    <t>Seg Funds (3)</t>
  </si>
  <si>
    <t>Mutual Funds (2)</t>
  </si>
  <si>
    <t>Annuities (1)</t>
  </si>
  <si>
    <t>Risk-free value of net assets at the end of the first year</t>
  </si>
  <si>
    <t>Liabilities at time 0</t>
  </si>
  <si>
    <t>Annual Volatility of profits</t>
  </si>
  <si>
    <t>Business Unit Group</t>
  </si>
  <si>
    <t>Term Life</t>
  </si>
  <si>
    <t>Seg Funds</t>
  </si>
  <si>
    <t>Mutual Funds</t>
  </si>
  <si>
    <t>Annuities</t>
  </si>
  <si>
    <t>Correlation of profits by business unit</t>
  </si>
  <si>
    <r>
      <t>·</t>
    </r>
    <r>
      <rPr>
        <sz val="7"/>
        <color theme="1"/>
        <rFont val="Times New Roman"/>
        <family val="1"/>
      </rPr>
      <t xml:space="preserve">                </t>
    </r>
    <r>
      <rPr>
        <sz val="12"/>
        <color theme="1"/>
        <rFont val="Times New Roman"/>
        <family val="1"/>
      </rPr>
      <t>The continuously compounded risk-free rate of interest is 3%.</t>
    </r>
  </si>
  <si>
    <r>
      <t>·</t>
    </r>
    <r>
      <rPr>
        <sz val="7"/>
        <color theme="1"/>
        <rFont val="Times New Roman"/>
        <family val="1"/>
      </rPr>
      <t xml:space="preserve">                </t>
    </r>
    <r>
      <rPr>
        <sz val="12"/>
        <color theme="1"/>
        <rFont val="Times New Roman"/>
        <family val="1"/>
      </rPr>
      <t>Marginal risk capital is used to allocate risk capital across business units.</t>
    </r>
  </si>
  <si>
    <r>
      <t>(b)</t>
    </r>
    <r>
      <rPr>
        <sz val="7"/>
        <color theme="1"/>
        <rFont val="Times New Roman"/>
        <family val="1"/>
      </rPr>
      <t xml:space="preserve">            </t>
    </r>
    <r>
      <rPr>
        <sz val="12"/>
        <color theme="1"/>
        <rFont val="Times New Roman"/>
        <family val="1"/>
      </rPr>
      <t>(</t>
    </r>
    <r>
      <rPr>
        <i/>
        <sz val="12"/>
        <color theme="1"/>
        <rFont val="Times New Roman"/>
        <family val="1"/>
      </rPr>
      <t>6 points</t>
    </r>
    <r>
      <rPr>
        <sz val="12"/>
        <color theme="1"/>
        <rFont val="Times New Roman"/>
        <family val="1"/>
      </rPr>
      <t>)  You are given:</t>
    </r>
  </si>
  <si>
    <t>Responses for part (b)i and (b)ii are to be provided in this tab.</t>
  </si>
  <si>
    <t>Responses for parts (a) and (c) are to be provided in the Word document.</t>
  </si>
  <si>
    <t>QUESTION 1 (b) i, ii</t>
  </si>
  <si>
    <t>Calculate the GAAP benefit reserve for this policy at the end of year 5.  Show all work.</t>
  </si>
  <si>
    <t>Decremented Guaranteed Value</t>
  </si>
  <si>
    <t>Decremented Index AV</t>
  </si>
  <si>
    <t>Lapse</t>
  </si>
  <si>
    <t>Mortality</t>
  </si>
  <si>
    <t>Guaranteed Value</t>
  </si>
  <si>
    <t>Index AV</t>
  </si>
  <si>
    <t>Risk-free interest rate</t>
  </si>
  <si>
    <t>Guaranteed interest rate</t>
  </si>
  <si>
    <t>Option budget</t>
  </si>
  <si>
    <r>
      <t>(b)</t>
    </r>
    <r>
      <rPr>
        <sz val="7"/>
        <color theme="1"/>
        <rFont val="Times New Roman"/>
        <family val="1"/>
      </rPr>
      <t xml:space="preserve">            </t>
    </r>
    <r>
      <rPr>
        <sz val="12"/>
        <color theme="1"/>
        <rFont val="Times New Roman"/>
        <family val="1"/>
      </rPr>
      <t>(</t>
    </r>
    <r>
      <rPr>
        <i/>
        <sz val="12"/>
        <color theme="1"/>
        <rFont val="Times New Roman"/>
        <family val="1"/>
      </rPr>
      <t>5 points</t>
    </r>
    <r>
      <rPr>
        <sz val="12"/>
        <color theme="1"/>
        <rFont val="Times New Roman"/>
        <family val="1"/>
      </rPr>
      <t>)  You are given:</t>
    </r>
  </si>
  <si>
    <t>Calculate the index credit for this crediting period.</t>
  </si>
  <si>
    <t>Floor rate</t>
  </si>
  <si>
    <t>Cap rate</t>
  </si>
  <si>
    <t>Index spread</t>
  </si>
  <si>
    <t>Participation rate</t>
  </si>
  <si>
    <t>Index return</t>
  </si>
  <si>
    <r>
      <t>(a)</t>
    </r>
    <r>
      <rPr>
        <sz val="7"/>
        <color theme="1"/>
        <rFont val="Times New Roman"/>
        <family val="1"/>
      </rPr>
      <t xml:space="preserve">            </t>
    </r>
    <r>
      <rPr>
        <sz val="12"/>
        <color theme="1"/>
        <rFont val="Times New Roman"/>
        <family val="1"/>
      </rPr>
      <t>(</t>
    </r>
    <r>
      <rPr>
        <i/>
        <sz val="12"/>
        <color theme="1"/>
        <rFont val="Times New Roman"/>
        <family val="1"/>
      </rPr>
      <t>1 Point</t>
    </r>
    <r>
      <rPr>
        <sz val="12"/>
        <color theme="1"/>
        <rFont val="Times New Roman"/>
        <family val="1"/>
      </rPr>
      <t xml:space="preserve">)  You are given: </t>
    </r>
  </si>
  <si>
    <r>
      <t>(</t>
    </r>
    <r>
      <rPr>
        <i/>
        <sz val="12"/>
        <color theme="1"/>
        <rFont val="Times New Roman"/>
        <family val="1"/>
      </rPr>
      <t>6 points</t>
    </r>
    <r>
      <rPr>
        <sz val="12"/>
        <color theme="1"/>
        <rFont val="Times New Roman"/>
        <family val="1"/>
      </rPr>
      <t xml:space="preserve">)  MSF Life sells a fixed indexed annuity without a fixed account and without any optional riders. </t>
    </r>
  </si>
  <si>
    <t>Responses for all of Q2 are to be provided in this tab.</t>
  </si>
  <si>
    <t>QUESTION 2 (a) and (b)</t>
  </si>
  <si>
    <t>Calculate the LFPB remeasurement gain or loss in 2026.</t>
  </si>
  <si>
    <r>
      <t>·</t>
    </r>
    <r>
      <rPr>
        <sz val="7"/>
        <color theme="1"/>
        <rFont val="Times New Roman"/>
        <family val="1"/>
      </rPr>
      <t xml:space="preserve">       </t>
    </r>
    <r>
      <rPr>
        <sz val="12"/>
        <color theme="1"/>
        <rFont val="Times New Roman"/>
        <family val="1"/>
      </rPr>
      <t>No change to the current discount rate in any year</t>
    </r>
  </si>
  <si>
    <r>
      <t>·</t>
    </r>
    <r>
      <rPr>
        <sz val="7"/>
        <color theme="1"/>
        <rFont val="Times New Roman"/>
        <family val="1"/>
      </rPr>
      <t xml:space="preserve">       </t>
    </r>
    <r>
      <rPr>
        <sz val="12"/>
        <color theme="1"/>
        <rFont val="Times New Roman"/>
        <family val="1"/>
      </rPr>
      <t>No change to future best estimate mortality rate</t>
    </r>
    <r>
      <rPr>
        <sz val="8"/>
        <color theme="1"/>
        <rFont val="Calibri"/>
        <family val="2"/>
      </rPr>
      <t> </t>
    </r>
  </si>
  <si>
    <r>
      <t>·</t>
    </r>
    <r>
      <rPr>
        <sz val="7"/>
        <color theme="1"/>
        <rFont val="Times New Roman"/>
        <family val="1"/>
      </rPr>
      <t xml:space="preserve">       </t>
    </r>
    <r>
      <rPr>
        <sz val="12"/>
        <color theme="1"/>
        <rFont val="Times New Roman"/>
        <family val="1"/>
      </rPr>
      <t>Actual annual mortality rate increased from 20% to 60% in 2026</t>
    </r>
  </si>
  <si>
    <r>
      <t>·</t>
    </r>
    <r>
      <rPr>
        <sz val="7"/>
        <color theme="1"/>
        <rFont val="Times New Roman"/>
        <family val="1"/>
      </rPr>
      <t xml:space="preserve">       </t>
    </r>
    <r>
      <rPr>
        <sz val="12"/>
        <color theme="1"/>
        <rFont val="Times New Roman"/>
        <family val="1"/>
      </rPr>
      <t>Experience was equal to expected for 2023-2025</t>
    </r>
  </si>
  <si>
    <r>
      <t>(c)</t>
    </r>
    <r>
      <rPr>
        <sz val="7"/>
        <color theme="1"/>
        <rFont val="Times New Roman"/>
        <family val="1"/>
      </rPr>
      <t xml:space="preserve">            </t>
    </r>
    <r>
      <rPr>
        <sz val="12"/>
        <color theme="1"/>
        <rFont val="Times New Roman"/>
        <family val="1"/>
      </rPr>
      <t>(</t>
    </r>
    <r>
      <rPr>
        <i/>
        <sz val="12"/>
        <color theme="1"/>
        <rFont val="Times New Roman"/>
        <family val="1"/>
      </rPr>
      <t>3 points</t>
    </r>
    <r>
      <rPr>
        <sz val="12"/>
        <color theme="1"/>
        <rFont val="Times New Roman"/>
        <family val="1"/>
      </rPr>
      <t>)  You are given:</t>
    </r>
  </si>
  <si>
    <r>
      <t>(b)</t>
    </r>
    <r>
      <rPr>
        <sz val="7"/>
        <color theme="1"/>
        <rFont val="Times New Roman"/>
        <family val="1"/>
      </rPr>
      <t xml:space="preserve">            </t>
    </r>
    <r>
      <rPr>
        <sz val="12"/>
        <color theme="1"/>
        <rFont val="Times New Roman"/>
        <family val="1"/>
      </rPr>
      <t>(</t>
    </r>
    <r>
      <rPr>
        <i/>
        <sz val="12"/>
        <color theme="1"/>
        <rFont val="Times New Roman"/>
        <family val="1"/>
      </rPr>
      <t>4 points</t>
    </r>
    <r>
      <rPr>
        <sz val="12"/>
        <color theme="1"/>
        <rFont val="Times New Roman"/>
        <family val="1"/>
      </rPr>
      <t>)  Calculate the projected DAC at the end of the third policy year using the group contract method.</t>
    </r>
  </si>
  <si>
    <r>
      <t>(a)</t>
    </r>
    <r>
      <rPr>
        <sz val="7"/>
        <color theme="1"/>
        <rFont val="Times New Roman"/>
        <family val="1"/>
      </rPr>
      <t xml:space="preserve">            </t>
    </r>
    <r>
      <rPr>
        <sz val="12"/>
        <color theme="1"/>
        <rFont val="Times New Roman"/>
        <family val="1"/>
      </rPr>
      <t>(</t>
    </r>
    <r>
      <rPr>
        <i/>
        <sz val="12"/>
        <color theme="1"/>
        <rFont val="Times New Roman"/>
        <family val="1"/>
      </rPr>
      <t>5 points</t>
    </r>
    <r>
      <rPr>
        <sz val="12"/>
        <color theme="1"/>
        <rFont val="Times New Roman"/>
        <family val="1"/>
      </rPr>
      <t>)  Calculate the projected Liability for Future Policyholder Benefits (LFPB) at the end of the third policy year.</t>
    </r>
  </si>
  <si>
    <r>
      <t>·</t>
    </r>
    <r>
      <rPr>
        <sz val="7"/>
        <color theme="1"/>
        <rFont val="Times New Roman"/>
        <family val="1"/>
      </rPr>
      <t xml:space="preserve">                </t>
    </r>
    <r>
      <rPr>
        <sz val="12"/>
        <color theme="1"/>
        <rFont val="Times New Roman"/>
        <family val="1"/>
      </rPr>
      <t>Assume no Deferred Profit Liability (DPL)</t>
    </r>
  </si>
  <si>
    <r>
      <t>·</t>
    </r>
    <r>
      <rPr>
        <sz val="7"/>
        <color theme="1"/>
        <rFont val="Times New Roman"/>
        <family val="1"/>
      </rPr>
      <t xml:space="preserve">                </t>
    </r>
    <r>
      <rPr>
        <sz val="12"/>
        <color theme="1"/>
        <rFont val="Times New Roman"/>
        <family val="1"/>
      </rPr>
      <t>Annual reserve discount rate = 4.25%</t>
    </r>
  </si>
  <si>
    <r>
      <t>·</t>
    </r>
    <r>
      <rPr>
        <sz val="7"/>
        <color theme="1"/>
        <rFont val="Times New Roman"/>
        <family val="1"/>
      </rPr>
      <t xml:space="preserve">                </t>
    </r>
    <r>
      <rPr>
        <sz val="12"/>
        <color theme="1"/>
        <rFont val="Times New Roman"/>
        <family val="1"/>
      </rPr>
      <t>Provision for Adverse Deviation (PAD): 10% on mortality</t>
    </r>
  </si>
  <si>
    <t>100%  for Age = 92</t>
  </si>
  <si>
    <t>20%    for 65 ≤ Age &lt; 92</t>
  </si>
  <si>
    <r>
      <t>·</t>
    </r>
    <r>
      <rPr>
        <sz val="7"/>
        <color theme="1"/>
        <rFont val="Times New Roman"/>
        <family val="1"/>
      </rPr>
      <t xml:space="preserve">                </t>
    </r>
    <r>
      <rPr>
        <sz val="12"/>
        <color theme="1"/>
        <rFont val="Times New Roman"/>
        <family val="1"/>
      </rPr>
      <t>Best estimate annual mortality rate</t>
    </r>
  </si>
  <si>
    <r>
      <t>·</t>
    </r>
    <r>
      <rPr>
        <sz val="7"/>
        <color theme="1"/>
        <rFont val="Times New Roman"/>
        <family val="1"/>
      </rPr>
      <t xml:space="preserve">                </t>
    </r>
    <r>
      <rPr>
        <sz val="12"/>
        <color theme="1"/>
        <rFont val="Times New Roman"/>
        <family val="1"/>
      </rPr>
      <t>Non-deferrable acquisition expense: 20 per policy</t>
    </r>
  </si>
  <si>
    <r>
      <t>·</t>
    </r>
    <r>
      <rPr>
        <sz val="7"/>
        <color theme="1"/>
        <rFont val="Times New Roman"/>
        <family val="1"/>
      </rPr>
      <t xml:space="preserve">                </t>
    </r>
    <r>
      <rPr>
        <sz val="12"/>
        <color theme="1"/>
        <rFont val="Times New Roman"/>
        <family val="1"/>
      </rPr>
      <t>Deferrable acquisition expense: 65 per policy</t>
    </r>
  </si>
  <si>
    <r>
      <t>·</t>
    </r>
    <r>
      <rPr>
        <sz val="7"/>
        <color theme="1"/>
        <rFont val="Times New Roman"/>
        <family val="1"/>
      </rPr>
      <t xml:space="preserve">                </t>
    </r>
    <r>
      <rPr>
        <sz val="12"/>
        <color theme="1"/>
        <rFont val="Times New Roman"/>
        <family val="1"/>
      </rPr>
      <t xml:space="preserve">Commission rate: 3.0% of premium paid at issue </t>
    </r>
  </si>
  <si>
    <r>
      <t>·</t>
    </r>
    <r>
      <rPr>
        <sz val="7"/>
        <color theme="1"/>
        <rFont val="Times New Roman"/>
        <family val="1"/>
      </rPr>
      <t xml:space="preserve">                </t>
    </r>
    <r>
      <rPr>
        <sz val="12"/>
        <color theme="1"/>
        <rFont val="Times New Roman"/>
        <family val="1"/>
      </rPr>
      <t>Initial single premium: 1000 per policy</t>
    </r>
  </si>
  <si>
    <r>
      <t>·</t>
    </r>
    <r>
      <rPr>
        <sz val="7"/>
        <color theme="1"/>
        <rFont val="Times New Roman"/>
        <family val="1"/>
      </rPr>
      <t xml:space="preserve">                </t>
    </r>
    <r>
      <rPr>
        <sz val="12"/>
        <color theme="1"/>
        <rFont val="Times New Roman"/>
        <family val="1"/>
      </rPr>
      <t>Level maintenance expense: 10 per year per policy</t>
    </r>
  </si>
  <si>
    <r>
      <t>·</t>
    </r>
    <r>
      <rPr>
        <sz val="7"/>
        <color theme="1"/>
        <rFont val="Times New Roman"/>
        <family val="1"/>
      </rPr>
      <t xml:space="preserve">                </t>
    </r>
    <r>
      <rPr>
        <sz val="12"/>
        <color theme="1"/>
        <rFont val="Times New Roman"/>
        <family val="1"/>
      </rPr>
      <t>Benefit payments started on the issue date</t>
    </r>
  </si>
  <si>
    <r>
      <t>·</t>
    </r>
    <r>
      <rPr>
        <sz val="7"/>
        <color theme="1"/>
        <rFont val="Times New Roman"/>
        <family val="1"/>
      </rPr>
      <t xml:space="preserve">                </t>
    </r>
    <r>
      <rPr>
        <sz val="12"/>
        <color theme="1"/>
        <rFont val="Times New Roman"/>
        <family val="1"/>
      </rPr>
      <t>Benefit payment: 110 per year per policy during both life-certain and life-contingent periods</t>
    </r>
  </si>
  <si>
    <r>
      <t>·</t>
    </r>
    <r>
      <rPr>
        <sz val="7"/>
        <color theme="1"/>
        <rFont val="Times New Roman"/>
        <family val="1"/>
      </rPr>
      <t xml:space="preserve">                </t>
    </r>
    <r>
      <rPr>
        <sz val="12"/>
        <color theme="1"/>
        <rFont val="Times New Roman"/>
        <family val="1"/>
      </rPr>
      <t>Issue age: 65</t>
    </r>
  </si>
  <si>
    <r>
      <t>(</t>
    </r>
    <r>
      <rPr>
        <i/>
        <sz val="12"/>
        <color theme="1"/>
        <rFont val="Times New Roman"/>
        <family val="1"/>
      </rPr>
      <t>12 points</t>
    </r>
    <r>
      <rPr>
        <sz val="12"/>
        <color theme="1"/>
        <rFont val="Times New Roman"/>
        <family val="1"/>
      </rPr>
      <t xml:space="preserve">)  ALY Life is preparing GAAP financial statements for a block of 1,000 10-year certain and life-contingent SPIA contracts issued on January 1, 2023. </t>
    </r>
  </si>
  <si>
    <t>Responses for all of Q3 are to be provided in this tab.</t>
  </si>
  <si>
    <t>QUESTION 3 (a), (b), and (c)</t>
  </si>
  <si>
    <r>
      <t>(ii)</t>
    </r>
    <r>
      <rPr>
        <sz val="7"/>
        <color theme="1"/>
        <rFont val="Times New Roman"/>
        <family val="1"/>
      </rPr>
      <t xml:space="preserve">           </t>
    </r>
    <r>
      <rPr>
        <sz val="12"/>
        <color theme="1"/>
        <rFont val="Times New Roman"/>
        <family val="1"/>
      </rPr>
      <t>Terminal dividend liability</t>
    </r>
  </si>
  <si>
    <r>
      <t>(i)</t>
    </r>
    <r>
      <rPr>
        <sz val="7"/>
        <color theme="1"/>
        <rFont val="Times New Roman"/>
        <family val="1"/>
      </rPr>
      <t xml:space="preserve">             </t>
    </r>
    <r>
      <rPr>
        <sz val="12"/>
        <color theme="1"/>
        <rFont val="Times New Roman"/>
        <family val="1"/>
      </rPr>
      <t>Liability for future policyholder benefits</t>
    </r>
  </si>
  <si>
    <r>
      <t>(a)</t>
    </r>
    <r>
      <rPr>
        <sz val="7"/>
        <color theme="1"/>
        <rFont val="Times New Roman"/>
        <family val="1"/>
      </rPr>
      <t xml:space="preserve">            </t>
    </r>
    <r>
      <rPr>
        <sz val="12"/>
        <color theme="1"/>
        <rFont val="Times New Roman"/>
        <family val="1"/>
      </rPr>
      <t>(</t>
    </r>
    <r>
      <rPr>
        <i/>
        <sz val="12"/>
        <color theme="1"/>
        <rFont val="Times New Roman"/>
        <family val="1"/>
      </rPr>
      <t>5 points</t>
    </r>
    <r>
      <rPr>
        <sz val="12"/>
        <color theme="1"/>
        <rFont val="Times New Roman"/>
        <family val="1"/>
      </rPr>
      <t>)  Calculate the following at the end of the third policy year, based on GAAP accounting rules for participating life insurance.</t>
    </r>
  </si>
  <si>
    <t>Dividend</t>
  </si>
  <si>
    <t>Cash Value</t>
  </si>
  <si>
    <t>Valuation</t>
  </si>
  <si>
    <t>Pricing</t>
  </si>
  <si>
    <t>Mortality Assumptions (Rates per 1000)</t>
  </si>
  <si>
    <t>Attained</t>
  </si>
  <si>
    <r>
      <t>·</t>
    </r>
    <r>
      <rPr>
        <sz val="7"/>
        <color theme="1"/>
        <rFont val="Times New Roman"/>
        <family val="1"/>
      </rPr>
      <t xml:space="preserve">                </t>
    </r>
    <r>
      <rPr>
        <sz val="12"/>
        <color theme="1"/>
        <rFont val="Times New Roman"/>
        <family val="1"/>
      </rPr>
      <t>DAC is amortized based on face amount</t>
    </r>
  </si>
  <si>
    <r>
      <t>o</t>
    </r>
    <r>
      <rPr>
        <sz val="7"/>
        <color theme="1"/>
        <rFont val="Times New Roman"/>
        <family val="1"/>
      </rPr>
      <t xml:space="preserve">   </t>
    </r>
    <r>
      <rPr>
        <sz val="12"/>
        <color theme="1"/>
        <rFont val="Times New Roman"/>
        <family val="1"/>
      </rPr>
      <t>Cash values are payable upon surrenders</t>
    </r>
  </si>
  <si>
    <r>
      <t>o</t>
    </r>
    <r>
      <rPr>
        <sz val="7"/>
        <color theme="1"/>
        <rFont val="Times New Roman"/>
        <family val="1"/>
      </rPr>
      <t xml:space="preserve">   </t>
    </r>
    <r>
      <rPr>
        <sz val="12"/>
        <color theme="1"/>
        <rFont val="Times New Roman"/>
        <family val="1"/>
      </rPr>
      <t>Termination dividends are paid to terminating policyholders</t>
    </r>
  </si>
  <si>
    <r>
      <t>o</t>
    </r>
    <r>
      <rPr>
        <sz val="7"/>
        <color theme="1"/>
        <rFont val="Times New Roman"/>
        <family val="1"/>
      </rPr>
      <t xml:space="preserve">   </t>
    </r>
    <r>
      <rPr>
        <sz val="12"/>
        <color theme="1"/>
        <rFont val="Times New Roman"/>
        <family val="1"/>
      </rPr>
      <t xml:space="preserve">Dividends are payable annually to policyholders          </t>
    </r>
  </si>
  <si>
    <r>
      <t>·</t>
    </r>
    <r>
      <rPr>
        <sz val="7"/>
        <color theme="1"/>
        <rFont val="Times New Roman"/>
        <family val="1"/>
      </rPr>
      <t xml:space="preserve">                </t>
    </r>
    <r>
      <rPr>
        <sz val="12"/>
        <color theme="1"/>
        <rFont val="Times New Roman"/>
        <family val="1"/>
      </rPr>
      <t>All benefits are payable at the end of each year:</t>
    </r>
  </si>
  <si>
    <r>
      <t>·</t>
    </r>
    <r>
      <rPr>
        <sz val="7"/>
        <color theme="1"/>
        <rFont val="Times New Roman"/>
        <family val="1"/>
      </rPr>
      <t xml:space="preserve">                </t>
    </r>
    <r>
      <rPr>
        <sz val="12"/>
        <color theme="1"/>
        <rFont val="Times New Roman"/>
        <family val="1"/>
      </rPr>
      <t>Premiums are payable at the beginning of each year.</t>
    </r>
  </si>
  <si>
    <t xml:space="preserve">Investment earned rate of interest </t>
  </si>
  <si>
    <t>Cash value interest rate</t>
  </si>
  <si>
    <t>Dividend fund interest rate</t>
  </si>
  <si>
    <t>Level</t>
  </si>
  <si>
    <t>Variation of gross premium payments</t>
  </si>
  <si>
    <t>Level death benefit</t>
  </si>
  <si>
    <t>SJG Life is developing a new participating life insurance product with endowment at age 65.  You are given the following information for a policy issued on January 1, 2024:</t>
  </si>
  <si>
    <t>QUESTION 4 (a) i and ii</t>
  </si>
  <si>
    <r>
      <t>(i)</t>
    </r>
    <r>
      <rPr>
        <sz val="7"/>
        <color theme="1"/>
        <rFont val="Times New Roman"/>
        <family val="1"/>
      </rPr>
      <t xml:space="preserve">             </t>
    </r>
    <r>
      <rPr>
        <sz val="12"/>
        <color theme="1"/>
        <rFont val="Times New Roman"/>
        <family val="1"/>
      </rPr>
      <t>Determine whether XYZ Life passed the stochastic exclusion test.</t>
    </r>
  </si>
  <si>
    <r>
      <t>·</t>
    </r>
    <r>
      <rPr>
        <sz val="7"/>
        <color theme="1"/>
        <rFont val="Times New Roman"/>
        <family val="1"/>
      </rPr>
      <t xml:space="preserve">                </t>
    </r>
    <r>
      <rPr>
        <sz val="12"/>
        <color theme="1"/>
        <rFont val="Times New Roman"/>
        <family val="1"/>
      </rPr>
      <t>Baseline scenario present value of benefits and expenses = 2,500 million</t>
    </r>
  </si>
  <si>
    <r>
      <t>·</t>
    </r>
    <r>
      <rPr>
        <sz val="7"/>
        <color theme="1"/>
        <rFont val="Times New Roman"/>
        <family val="1"/>
      </rPr>
      <t xml:space="preserve">                </t>
    </r>
    <r>
      <rPr>
        <sz val="12"/>
        <color theme="1"/>
        <rFont val="Times New Roman"/>
        <family val="1"/>
      </rPr>
      <t>Maximum reserve of 16 scenarios prescribed by VM-20 scenario generator = 350 million</t>
    </r>
  </si>
  <si>
    <r>
      <t>·</t>
    </r>
    <r>
      <rPr>
        <sz val="7"/>
        <color theme="1"/>
        <rFont val="Times New Roman"/>
        <family val="1"/>
      </rPr>
      <t xml:space="preserve">                </t>
    </r>
    <r>
      <rPr>
        <sz val="12"/>
        <color theme="1"/>
        <rFont val="Times New Roman"/>
        <family val="1"/>
      </rPr>
      <t>Baseline scenario reserve = 300 million</t>
    </r>
  </si>
  <si>
    <t>(d)  As part of its US Statutory valuation, XYZ Life performed the stochastic exclusion test.</t>
  </si>
  <si>
    <t>Responses for part (d)i are to be provided in this tab.</t>
  </si>
  <si>
    <t>Responses for parts (a), (b), (c), (d)ii, and (d)iii are to be provided in the Word document.</t>
  </si>
  <si>
    <t>QUESTION 5 (d) i</t>
  </si>
  <si>
    <t xml:space="preserve">Calculate the CARVM reserve at the valuation date using the mortality table provided in Excel. Show all work. </t>
  </si>
  <si>
    <t>Mortality (monthly)</t>
  </si>
  <si>
    <t>Attained Age</t>
  </si>
  <si>
    <t>Mortality Table:</t>
  </si>
  <si>
    <t>6+</t>
  </si>
  <si>
    <t xml:space="preserve">Surrender Charge % </t>
  </si>
  <si>
    <r>
      <t>·</t>
    </r>
    <r>
      <rPr>
        <sz val="7"/>
        <color theme="1"/>
        <rFont val="Times New Roman"/>
        <family val="1"/>
      </rPr>
      <t xml:space="preserve">       </t>
    </r>
    <r>
      <rPr>
        <sz val="12"/>
        <color theme="1"/>
        <rFont val="Times New Roman"/>
        <family val="1"/>
      </rPr>
      <t>All benefits are paid at the end of the period</t>
    </r>
  </si>
  <si>
    <r>
      <t>·</t>
    </r>
    <r>
      <rPr>
        <sz val="7"/>
        <color theme="1"/>
        <rFont val="Times New Roman"/>
        <family val="1"/>
      </rPr>
      <t xml:space="preserve">       </t>
    </r>
    <r>
      <rPr>
        <sz val="12"/>
        <color theme="1"/>
        <rFont val="Times New Roman"/>
        <family val="1"/>
      </rPr>
      <t>Valuation interest rate is 3.25%</t>
    </r>
  </si>
  <si>
    <r>
      <t>·</t>
    </r>
    <r>
      <rPr>
        <sz val="7"/>
        <color theme="1"/>
        <rFont val="Times New Roman"/>
        <family val="1"/>
      </rPr>
      <t xml:space="preserve">       </t>
    </r>
    <r>
      <rPr>
        <sz val="12"/>
        <color theme="1"/>
        <rFont val="Times New Roman"/>
        <family val="1"/>
      </rPr>
      <t>Policyholder will turn 46 on July 1, 2021</t>
    </r>
  </si>
  <si>
    <r>
      <t>·</t>
    </r>
    <r>
      <rPr>
        <sz val="7"/>
        <color theme="1"/>
        <rFont val="Times New Roman"/>
        <family val="1"/>
      </rPr>
      <t xml:space="preserve">       </t>
    </r>
    <r>
      <rPr>
        <sz val="12"/>
        <color theme="1"/>
        <rFont val="Times New Roman"/>
        <family val="1"/>
      </rPr>
      <t>Account value of 103,000 on June 30, 2021</t>
    </r>
  </si>
  <si>
    <r>
      <t>·</t>
    </r>
    <r>
      <rPr>
        <sz val="7"/>
        <color theme="1"/>
        <rFont val="Times New Roman"/>
        <family val="1"/>
      </rPr>
      <t xml:space="preserve">       </t>
    </r>
    <r>
      <rPr>
        <sz val="12"/>
        <color theme="1"/>
        <rFont val="Times New Roman"/>
        <family val="1"/>
      </rPr>
      <t>Valuation date: June 30, 2021</t>
    </r>
  </si>
  <si>
    <r>
      <t>·</t>
    </r>
    <r>
      <rPr>
        <sz val="7"/>
        <color theme="1"/>
        <rFont val="Times New Roman"/>
        <family val="1"/>
      </rPr>
      <t xml:space="preserve">       </t>
    </r>
    <r>
      <rPr>
        <sz val="12"/>
        <color theme="1"/>
        <rFont val="Times New Roman"/>
        <family val="1"/>
      </rPr>
      <t>Issue date: July 1, 2020</t>
    </r>
  </si>
  <si>
    <r>
      <t>·</t>
    </r>
    <r>
      <rPr>
        <sz val="7"/>
        <color theme="1"/>
        <rFont val="Times New Roman"/>
        <family val="1"/>
      </rPr>
      <t xml:space="preserve">       </t>
    </r>
    <r>
      <rPr>
        <sz val="12"/>
        <color theme="1"/>
        <rFont val="Times New Roman"/>
        <family val="1"/>
      </rPr>
      <t>Guaranteed Interest Rate: 3%</t>
    </r>
  </si>
  <si>
    <r>
      <t>·</t>
    </r>
    <r>
      <rPr>
        <sz val="7"/>
        <color theme="1"/>
        <rFont val="Times New Roman"/>
        <family val="1"/>
      </rPr>
      <t xml:space="preserve">       </t>
    </r>
    <r>
      <rPr>
        <sz val="12"/>
        <color theme="1"/>
        <rFont val="Times New Roman"/>
        <family val="1"/>
      </rPr>
      <t>Contract is terminated after the initial term</t>
    </r>
    <r>
      <rPr>
        <sz val="8"/>
        <color theme="1"/>
        <rFont val="Calibri"/>
        <family val="2"/>
      </rPr>
      <t> </t>
    </r>
  </si>
  <si>
    <r>
      <t>·</t>
    </r>
    <r>
      <rPr>
        <sz val="7"/>
        <color theme="1"/>
        <rFont val="Times New Roman"/>
        <family val="1"/>
      </rPr>
      <t xml:space="preserve">       </t>
    </r>
    <r>
      <rPr>
        <sz val="12"/>
        <color theme="1"/>
        <rFont val="Times New Roman"/>
        <family val="1"/>
      </rPr>
      <t>Term: 10-year</t>
    </r>
  </si>
  <si>
    <r>
      <t>(b) (</t>
    </r>
    <r>
      <rPr>
        <i/>
        <sz val="12"/>
        <color theme="1"/>
        <rFont val="Times New Roman"/>
        <family val="1"/>
      </rPr>
      <t>5 points</t>
    </r>
    <r>
      <rPr>
        <sz val="12"/>
        <color theme="1"/>
        <rFont val="Times New Roman"/>
        <family val="1"/>
      </rPr>
      <t>)  You are given the following for a deferred annuity policy:</t>
    </r>
  </si>
  <si>
    <t xml:space="preserve">QUESTION 6 (b) </t>
  </si>
  <si>
    <r>
      <t>(i)</t>
    </r>
    <r>
      <rPr>
        <sz val="7"/>
        <color theme="1"/>
        <rFont val="Times New Roman"/>
        <family val="1"/>
      </rPr>
      <t xml:space="preserve">             </t>
    </r>
    <r>
      <rPr>
        <sz val="12"/>
        <color theme="1"/>
        <rFont val="Times New Roman"/>
        <family val="1"/>
      </rPr>
      <t xml:space="preserve">VM-20 reserve, assume the information given is from policies issued in 2022. </t>
    </r>
  </si>
  <si>
    <t>Calculate the following:</t>
  </si>
  <si>
    <t>Aggregate NPR reserve</t>
  </si>
  <si>
    <t>Aggregate AG38 reserve</t>
  </si>
  <si>
    <t>Aggregate CRVM reserve</t>
  </si>
  <si>
    <t>Premiums with margins</t>
  </si>
  <si>
    <t>Expenses with margins and commissions</t>
  </si>
  <si>
    <t>Benefits with margins</t>
  </si>
  <si>
    <t>In millions</t>
  </si>
  <si>
    <t>Present Values</t>
  </si>
  <si>
    <r>
      <t>(c) (</t>
    </r>
    <r>
      <rPr>
        <i/>
        <sz val="12"/>
        <color theme="1"/>
        <rFont val="Times New Roman"/>
        <family val="1"/>
      </rPr>
      <t>2 points</t>
    </r>
    <r>
      <rPr>
        <sz val="12"/>
        <color theme="1"/>
        <rFont val="Times New Roman"/>
        <family val="1"/>
      </rPr>
      <t>)  You are given:</t>
    </r>
  </si>
  <si>
    <t>Responses for part (c)i and (c)ii are to be provided in this tab.</t>
  </si>
  <si>
    <t>QUESTION 7 (c) i and ii</t>
  </si>
  <si>
    <t>Calculate the total tax reserve for the company.</t>
  </si>
  <si>
    <t>Statutory Reserve</t>
  </si>
  <si>
    <t>Net Surrender Value</t>
  </si>
  <si>
    <t>General Account</t>
  </si>
  <si>
    <t>Product Segment</t>
  </si>
  <si>
    <t>Variable Universal Life</t>
  </si>
  <si>
    <t>Non-Variable Life</t>
  </si>
  <si>
    <t>Line of Business</t>
  </si>
  <si>
    <t>Determine if the policy is a modified endowment contract, assume premiums are paid throughout the 7-pay test period.</t>
  </si>
  <si>
    <t>Determine if the policy is a modified endowment contract, assume premiums are paid throughout the 7-pay test period without any modification.</t>
  </si>
  <si>
    <t xml:space="preserve">  </t>
  </si>
  <si>
    <t xml:space="preserve">  </t>
  </si>
  <si>
    <t>25 years</t>
  </si>
  <si>
    <t>Business Partner, age 20 at issue</t>
  </si>
  <si>
    <t>Term life insurance rider</t>
  </si>
  <si>
    <t>Attained age 25</t>
  </si>
  <si>
    <t>Child age 0 at issue</t>
  </si>
  <si>
    <t>Child term rider</t>
  </si>
  <si>
    <t>Attained age 65</t>
  </si>
  <si>
    <t>Policyowner</t>
  </si>
  <si>
    <t>Accidental death benefit rider</t>
  </si>
  <si>
    <t>Whole life</t>
  </si>
  <si>
    <t>Policyowner, age 20 at issue</t>
  </si>
  <si>
    <t>Base policy</t>
  </si>
  <si>
    <t>Death Benefit</t>
  </si>
  <si>
    <t>Premium per Year</t>
  </si>
  <si>
    <t>Coverage Period</t>
  </si>
  <si>
    <t>Insured</t>
  </si>
  <si>
    <t>Coverage</t>
  </si>
  <si>
    <t>Responses for all of Q8 are to be provided in this tab.</t>
  </si>
  <si>
    <t>QUESTION 8 (a) i,ii and (b)</t>
  </si>
  <si>
    <t>Other comprehensive income</t>
  </si>
  <si>
    <t>Change in insurance contract liabilities</t>
  </si>
  <si>
    <t>Incurred claims and other expenses (IFRS 4)</t>
  </si>
  <si>
    <t>Incurred claims and other expenses (IFRS 17)</t>
  </si>
  <si>
    <t>Insurance revenue</t>
  </si>
  <si>
    <t>Investment income</t>
  </si>
  <si>
    <t xml:space="preserve"> DJS, a Canadian life insurer, is looking to understand the impacts of moving from IFRS 4 to IFRS 17. You are given:</t>
  </si>
  <si>
    <t>QUESTION 9 (a) i and ii</t>
  </si>
  <si>
    <t>Calculate the following Source of Earnings components:</t>
  </si>
  <si>
    <t>Annual non-investment expenses</t>
  </si>
  <si>
    <t>Annual yield</t>
  </si>
  <si>
    <t>Average annual assets</t>
  </si>
  <si>
    <t>Actual</t>
  </si>
  <si>
    <t>Responses for part (b), subparts i-v, are to be provided in this tab.</t>
  </si>
  <si>
    <t>QUESTION 10 (b) i -v</t>
  </si>
  <si>
    <t>='&lt; Solution for Year 3</t>
  </si>
  <si>
    <t>Benefit Reserve = 
PV of Projected benefits</t>
  </si>
  <si>
    <t>Discount factor beginning of year</t>
  </si>
  <si>
    <t>Discount Rate</t>
  </si>
  <si>
    <t>Projected Benefits based on Survival</t>
  </si>
  <si>
    <t>Benefit Payment per person</t>
  </si>
  <si>
    <t>Survivors end of year</t>
  </si>
  <si>
    <t>Death during the year</t>
  </si>
  <si>
    <t>Survivors at the beginning of year</t>
  </si>
  <si>
    <t>Calendar Year</t>
  </si>
  <si>
    <t>Gross Premium =</t>
  </si>
  <si>
    <t>DAC
end of year</t>
  </si>
  <si>
    <t>DAC amortization</t>
  </si>
  <si>
    <t>Amortization Base Rate</t>
  </si>
  <si>
    <t>In-force Benefits</t>
  </si>
  <si>
    <t>Total Deferrable</t>
  </si>
  <si>
    <t>Deferrable non-Comm</t>
  </si>
  <si>
    <t>Deferrable Commission</t>
  </si>
  <si>
    <t>Non-derrable expense should be excluded from DAC calculation.</t>
  </si>
  <si>
    <t>$65 per policy * 1,000 = $65,000</t>
  </si>
  <si>
    <t>Commission rate of 3.0% * $1M = $30,000</t>
  </si>
  <si>
    <t>Deferrable acquisition expense:</t>
  </si>
  <si>
    <t>&lt;= Solution</t>
  </si>
  <si>
    <t>Remeasurement Gain</t>
  </si>
  <si>
    <t>LPFB 12/31/2026</t>
  </si>
  <si>
    <t>Variance</t>
  </si>
  <si>
    <t>Anticipated</t>
  </si>
  <si>
    <t>TDL Ratio</t>
  </si>
  <si>
    <t>Liability</t>
  </si>
  <si>
    <t>Payment</t>
  </si>
  <si>
    <t>Inforce</t>
  </si>
  <si>
    <t>Dividends</t>
  </si>
  <si>
    <t>Interest</t>
  </si>
  <si>
    <t>of Year</t>
  </si>
  <si>
    <t>Rate</t>
  </si>
  <si>
    <t>Rate Per 1000</t>
  </si>
  <si>
    <t>Amount</t>
  </si>
  <si>
    <t>Face Amount</t>
  </si>
  <si>
    <t>Termination</t>
  </si>
  <si>
    <t>Discounted</t>
  </si>
  <si>
    <t>Beginning</t>
  </si>
  <si>
    <t>Earned</t>
  </si>
  <si>
    <t>Face</t>
  </si>
  <si>
    <t>of Future</t>
  </si>
  <si>
    <t>of Future Expected</t>
  </si>
  <si>
    <t>of</t>
  </si>
  <si>
    <t>Investment</t>
  </si>
  <si>
    <t>Present Value</t>
  </si>
  <si>
    <t>Present Value of</t>
  </si>
  <si>
    <t>Expected</t>
  </si>
  <si>
    <t>Calculation of Termination Dividend Liability</t>
  </si>
  <si>
    <t>Below is a numerical presentation of the prospective calculation of the termination dividend liability:</t>
  </si>
  <si>
    <t>termination dividend payment for that year to produce the termination dividend liability for that year.</t>
  </si>
  <si>
    <t xml:space="preserve">being replaced by termination dividends and gross premiums being replaced by face amounts.  Each year's reserve would then be reduced by the </t>
  </si>
  <si>
    <t>With regard to the prospective calculation of the termination dividend liability, it is calculated similarly as the GAAP Benefit Reserves, with benefits</t>
  </si>
  <si>
    <t>Accrual Ratio</t>
  </si>
  <si>
    <t>Paid</t>
  </si>
  <si>
    <t>Accrual</t>
  </si>
  <si>
    <t>Per 1000</t>
  </si>
  <si>
    <t xml:space="preserve">Termination </t>
  </si>
  <si>
    <t>Value of</t>
  </si>
  <si>
    <t>Value</t>
  </si>
  <si>
    <t>End of Year</t>
  </si>
  <si>
    <t>Beginning of Year</t>
  </si>
  <si>
    <t>Present</t>
  </si>
  <si>
    <t>Below is the numerical presentation of the retrospective calculation of the termination dividend liability:</t>
  </si>
  <si>
    <t xml:space="preserve">     less the termination dividend paid in the current year.</t>
  </si>
  <si>
    <t xml:space="preserve">     the current-year accrual of the termination dividend, and the current-year interest earned by the termination dividend liability, </t>
  </si>
  <si>
    <t xml:space="preserve">7.  Determine the current yearend termination dividend liability as the sum of the prior yearend terminal dividend liability, </t>
  </si>
  <si>
    <t xml:space="preserve">      liabilty and the current year accrual, multiplied by the investment earned interest rate.</t>
  </si>
  <si>
    <t>6.  Derive the interest earned by the termination dividend liability as the sum of the prior yearend termination dividend</t>
  </si>
  <si>
    <t xml:space="preserve">      for that year.</t>
  </si>
  <si>
    <t>5.  Determine each year's accrual of the termination dividend liability as the accrual rate multiplied by the face amount</t>
  </si>
  <si>
    <t xml:space="preserve">      divided by the present value of future face amounts.</t>
  </si>
  <si>
    <t>4.  Determine the accrual rate, which is equal to the present value value of future expected termination dividends</t>
  </si>
  <si>
    <t>3.  Determine the present value of expected termination dividend payments.</t>
  </si>
  <si>
    <t>2.  Calculate the present value of face amounts.</t>
  </si>
  <si>
    <t>1.  Assume the expected termination dividend payable at the end of year 10 is equal to 600.  ( $600 was not provided at the exam)</t>
  </si>
  <si>
    <t>retrospectively, are as follow:</t>
  </si>
  <si>
    <t xml:space="preserve">participating traditional life insurance products.  The steps for determining the termination dividend liability, </t>
  </si>
  <si>
    <t xml:space="preserve">cash value mortality .  Surrender rates are not assumed in the calculation of the termination dvidend liability for </t>
  </si>
  <si>
    <t xml:space="preserve">assumed interest equal to the investment earned rate, which in this question is equal to 4.5%,  and mortality equal to </t>
  </si>
  <si>
    <t>to face amount.  The termination dividend liability and DAC Asset for participating traditional life insurance products</t>
  </si>
  <si>
    <t>termination dividend liability is accrued in proportion to face amount as the DAC Asset is amortized in proportion</t>
  </si>
  <si>
    <t xml:space="preserve">The accrual of the termination dividend liability is comparable to the amortization of the DAC Asset, where the </t>
  </si>
  <si>
    <r>
      <t>(ii)</t>
    </r>
    <r>
      <rPr>
        <sz val="7"/>
        <color rgb="FF000000"/>
        <rFont val="Times New Roman"/>
        <family val="1"/>
      </rPr>
      <t xml:space="preserve">           </t>
    </r>
    <r>
      <rPr>
        <sz val="12"/>
        <color rgb="FF000000"/>
        <rFont val="Times New Roman"/>
        <family val="1"/>
      </rPr>
      <t>Terminal dividend liability</t>
    </r>
  </si>
  <si>
    <t xml:space="preserve">    Capped Net Premium</t>
  </si>
  <si>
    <t>Uncapped Net Premium</t>
  </si>
  <si>
    <t>(LFPB)</t>
  </si>
  <si>
    <t>Benefit</t>
  </si>
  <si>
    <t>Net Premium</t>
  </si>
  <si>
    <t>Future</t>
  </si>
  <si>
    <t>Projected</t>
  </si>
  <si>
    <t>Endowment</t>
  </si>
  <si>
    <t>Death</t>
  </si>
  <si>
    <t>Capped</t>
  </si>
  <si>
    <t>Uncapped</t>
  </si>
  <si>
    <t>Fund</t>
  </si>
  <si>
    <t>Reserve with</t>
  </si>
  <si>
    <t>Calculation of GAAP Benefit Reserves</t>
  </si>
  <si>
    <t>GAAP Benefit</t>
  </si>
  <si>
    <t>Below is the numerical presentation of this exercise.</t>
  </si>
  <si>
    <t>policyholder dividends is the dividend fund rate, which for this question is 1.75%.</t>
  </si>
  <si>
    <t>used in the computation of those cash values.  The interest rate to be used in these calculations for participating traditional life which pay annual</t>
  </si>
  <si>
    <t>Mortality rates to be used in the calculation of GAAP benefit reserves for participating traditional life insurance that pay cash values are the mortality rates</t>
  </si>
  <si>
    <t>benefits less the present value of future GAAP net premiums.  The formula presentation for this is: V(t) = PVFB(t) - (PVFB(0)/PVGP(0)) x PVFGP(t).</t>
  </si>
  <si>
    <t xml:space="preserve">The next and final step is to determine the GAAP benefit reserves, which is equal to the present value of future death and endowment </t>
  </si>
  <si>
    <t>Let's assume the level gross premium is equal to 20,000.</t>
  </si>
  <si>
    <t>But since the gross premium is level, as indicated in the exam question, any gross premium can be selected and the same reserves will result.</t>
  </si>
  <si>
    <t>and endowment benefits divided by the present value at issue of future gross premiums. For this question, the gross premium was not provided.</t>
  </si>
  <si>
    <t>The first step in calculating the GAAP benefit reserve is to determine the GAAP net premium, which equals the present value at issue of future death</t>
  </si>
  <si>
    <t>The benefits cover by the GAAP benefit reserve calculations include death benefits and endowment benefits only.</t>
  </si>
  <si>
    <t>and the dividend fund interest rate.</t>
  </si>
  <si>
    <t>insurance products where GAAP benefit reserves are calculated using the net premium reserve approach assuming cash value mortality</t>
  </si>
  <si>
    <t>GAAP benefit reserves for participating traditional life insurance products are based on the GAAP model for participating traditional life</t>
  </si>
  <si>
    <r>
      <t>(i)</t>
    </r>
    <r>
      <rPr>
        <sz val="7"/>
        <color rgb="FF000000"/>
        <rFont val="Times New Roman"/>
        <family val="1"/>
      </rPr>
      <t xml:space="preserve">             </t>
    </r>
    <r>
      <rPr>
        <sz val="12"/>
        <color rgb="FF000000"/>
        <rFont val="Times New Roman"/>
        <family val="1"/>
      </rPr>
      <t>Liability for future policyholder benefits</t>
    </r>
  </si>
  <si>
    <r>
      <t>(a)</t>
    </r>
    <r>
      <rPr>
        <sz val="7"/>
        <color rgb="FF000000"/>
        <rFont val="Times New Roman"/>
        <family val="1"/>
      </rPr>
      <t xml:space="preserve">            </t>
    </r>
    <r>
      <rPr>
        <sz val="12"/>
        <color rgb="FF000000"/>
        <rFont val="Times New Roman"/>
        <family val="1"/>
      </rPr>
      <t>(</t>
    </r>
    <r>
      <rPr>
        <i/>
        <sz val="12"/>
        <color rgb="FF000000"/>
        <rFont val="Times New Roman"/>
        <family val="1"/>
      </rPr>
      <t>5 points</t>
    </r>
    <r>
      <rPr>
        <sz val="12"/>
        <color rgb="FF000000"/>
        <rFont val="Times New Roman"/>
        <family val="1"/>
      </rPr>
      <t>)  Calculate the following at the end of the third policy year, based on GAAP accounting rules for participating life insurance.</t>
    </r>
  </si>
  <si>
    <r>
      <t>·</t>
    </r>
    <r>
      <rPr>
        <sz val="7"/>
        <color rgb="FF000000"/>
        <rFont val="Times New Roman"/>
        <family val="1"/>
      </rPr>
      <t xml:space="preserve">                </t>
    </r>
    <r>
      <rPr>
        <sz val="12"/>
        <color rgb="FF000000"/>
        <rFont val="Times New Roman"/>
        <family val="1"/>
      </rPr>
      <t>DAC is amortized based on face amount</t>
    </r>
  </si>
  <si>
    <r>
      <t>o</t>
    </r>
    <r>
      <rPr>
        <sz val="7"/>
        <color rgb="FF000000"/>
        <rFont val="Times New Roman"/>
        <family val="1"/>
      </rPr>
      <t xml:space="preserve">   </t>
    </r>
    <r>
      <rPr>
        <sz val="12"/>
        <color rgb="FF000000"/>
        <rFont val="Times New Roman"/>
        <family val="1"/>
      </rPr>
      <t>Cash values are payable upon surrenders</t>
    </r>
  </si>
  <si>
    <r>
      <t>o</t>
    </r>
    <r>
      <rPr>
        <sz val="7"/>
        <color rgb="FFFF0000"/>
        <rFont val="Times New Roman"/>
        <family val="1"/>
      </rPr>
      <t xml:space="preserve">   </t>
    </r>
    <r>
      <rPr>
        <sz val="12"/>
        <color rgb="FFFF0000"/>
        <rFont val="Times New Roman"/>
        <family val="1"/>
      </rPr>
      <t>Termination dividends of $600 are paid to terminating policyholders</t>
    </r>
    <r>
      <rPr>
        <sz val="12"/>
        <color rgb="FFFF0000"/>
        <rFont val="Courier New"/>
        <family val="3"/>
      </rPr>
      <t xml:space="preserve"> ( $600 was not provided at the exam)</t>
    </r>
  </si>
  <si>
    <r>
      <t>o</t>
    </r>
    <r>
      <rPr>
        <sz val="7"/>
        <color rgb="FF000000"/>
        <rFont val="Times New Roman"/>
        <family val="1"/>
      </rPr>
      <t xml:space="preserve">   </t>
    </r>
    <r>
      <rPr>
        <sz val="12"/>
        <color rgb="FF000000"/>
        <rFont val="Times New Roman"/>
        <family val="1"/>
      </rPr>
      <t xml:space="preserve">Dividends are payable annually to policyholders          </t>
    </r>
  </si>
  <si>
    <r>
      <t>·</t>
    </r>
    <r>
      <rPr>
        <sz val="7"/>
        <color rgb="FF000000"/>
        <rFont val="Times New Roman"/>
        <family val="1"/>
      </rPr>
      <t xml:space="preserve">                </t>
    </r>
    <r>
      <rPr>
        <sz val="12"/>
        <color rgb="FF000000"/>
        <rFont val="Times New Roman"/>
        <family val="1"/>
      </rPr>
      <t>All benefits are payable at the end of each year:</t>
    </r>
  </si>
  <si>
    <r>
      <t>·</t>
    </r>
    <r>
      <rPr>
        <sz val="7"/>
        <color rgb="FF000000"/>
        <rFont val="Times New Roman"/>
        <family val="1"/>
      </rPr>
      <t xml:space="preserve">                </t>
    </r>
    <r>
      <rPr>
        <sz val="12"/>
        <color rgb="FF000000"/>
        <rFont val="Times New Roman"/>
        <family val="1"/>
      </rPr>
      <t>Premiums are payable at the beginning of each year.</t>
    </r>
  </si>
  <si>
    <t>Reserve as of 6/30/2021</t>
  </si>
  <si>
    <t>Integrated Benefit Stream</t>
  </si>
  <si>
    <t>PV Surrender Benefit</t>
  </si>
  <si>
    <t>PV Death Benefit</t>
  </si>
  <si>
    <t>tpx</t>
  </si>
  <si>
    <t>qx</t>
  </si>
  <si>
    <t>SC %</t>
  </si>
  <si>
    <t>Date</t>
  </si>
  <si>
    <t>PART (ii) NO LONGER RELEVANT</t>
  </si>
  <si>
    <r>
      <t>(ii)</t>
    </r>
    <r>
      <rPr>
        <strike/>
        <sz val="7"/>
        <color theme="1"/>
        <rFont val="Times New Roman"/>
        <family val="1"/>
      </rPr>
      <t xml:space="preserve">           </t>
    </r>
    <r>
      <rPr>
        <strike/>
        <sz val="12"/>
        <color theme="1"/>
        <rFont val="Times New Roman"/>
        <family val="1"/>
      </rPr>
      <t>AG-48 reserve, assume the information given is from policies issued in 2016.</t>
    </r>
  </si>
  <si>
    <r>
      <t>(a)</t>
    </r>
    <r>
      <rPr>
        <strike/>
        <sz val="7"/>
        <color theme="1"/>
        <rFont val="Times New Roman"/>
        <family val="1"/>
      </rPr>
      <t xml:space="preserve">            </t>
    </r>
    <r>
      <rPr>
        <strike/>
        <sz val="12"/>
        <color theme="1"/>
        <rFont val="Times New Roman"/>
        <family val="1"/>
      </rPr>
      <t>(</t>
    </r>
    <r>
      <rPr>
        <i/>
        <strike/>
        <sz val="12"/>
        <color theme="1"/>
        <rFont val="Times New Roman"/>
        <family val="1"/>
      </rPr>
      <t>5 points</t>
    </r>
    <r>
      <rPr>
        <strike/>
        <sz val="12"/>
        <color theme="1"/>
        <rFont val="Times New Roman"/>
        <family val="1"/>
      </rPr>
      <t>)  You are given:</t>
    </r>
  </si>
  <si>
    <r>
      <t>·</t>
    </r>
    <r>
      <rPr>
        <strike/>
        <sz val="7"/>
        <color theme="1"/>
        <rFont val="Times New Roman"/>
        <family val="1"/>
      </rPr>
      <t xml:space="preserve">                </t>
    </r>
    <r>
      <rPr>
        <strike/>
        <sz val="12"/>
        <color theme="1"/>
        <rFont val="Times New Roman"/>
        <family val="1"/>
      </rPr>
      <t xml:space="preserve">All premiums are paid at the beginning of each policy year. </t>
    </r>
  </si>
  <si>
    <r>
      <t>·</t>
    </r>
    <r>
      <rPr>
        <strike/>
        <sz val="7"/>
        <color theme="1"/>
        <rFont val="Times New Roman"/>
        <family val="1"/>
      </rPr>
      <t xml:space="preserve">                </t>
    </r>
    <r>
      <rPr>
        <strike/>
        <sz val="12"/>
        <color theme="1"/>
        <rFont val="Times New Roman"/>
        <family val="1"/>
      </rPr>
      <t>1000 A</t>
    </r>
    <r>
      <rPr>
        <strike/>
        <vertAlign val="subscript"/>
        <sz val="12"/>
        <color theme="1"/>
        <rFont val="Times New Roman"/>
        <family val="1"/>
      </rPr>
      <t>20</t>
    </r>
    <r>
      <rPr>
        <strike/>
        <sz val="12"/>
        <color theme="1"/>
        <rFont val="Times New Roman"/>
        <family val="1"/>
      </rPr>
      <t xml:space="preserve"> = 111.99</t>
    </r>
  </si>
  <si>
    <r>
      <t>·</t>
    </r>
    <r>
      <rPr>
        <strike/>
        <sz val="7"/>
        <color theme="1"/>
        <rFont val="Times New Roman"/>
        <family val="1"/>
      </rPr>
      <t xml:space="preserve">             </t>
    </r>
  </si>
  <si>
    <r>
      <t>(i)</t>
    </r>
    <r>
      <rPr>
        <strike/>
        <sz val="7"/>
        <color theme="1"/>
        <rFont val="Times New Roman"/>
        <family val="1"/>
      </rPr>
      <t xml:space="preserve">             </t>
    </r>
    <r>
      <rPr>
        <strike/>
        <sz val="12"/>
        <color theme="1"/>
        <rFont val="Times New Roman"/>
        <family val="1"/>
      </rPr>
      <t>Assume no other changes are made to the policy’s benefits.</t>
    </r>
  </si>
  <si>
    <r>
      <t>(ii)</t>
    </r>
    <r>
      <rPr>
        <strike/>
        <sz val="7"/>
        <color theme="1"/>
        <rFont val="Times New Roman"/>
        <family val="1"/>
      </rPr>
      <t xml:space="preserve">             </t>
    </r>
    <r>
      <rPr>
        <strike/>
        <sz val="12"/>
        <color theme="1"/>
        <rFont val="Times New Roman"/>
        <family val="1"/>
      </rPr>
      <t>You are given:</t>
    </r>
  </si>
  <si>
    <r>
      <t>·</t>
    </r>
    <r>
      <rPr>
        <strike/>
        <sz val="7"/>
        <color theme="1"/>
        <rFont val="Times New Roman"/>
        <family val="1"/>
      </rPr>
      <t xml:space="preserve">                </t>
    </r>
    <r>
      <rPr>
        <strike/>
        <sz val="12"/>
        <color theme="1"/>
        <rFont val="Times New Roman"/>
        <family val="1"/>
      </rPr>
      <t>At the beginning of the 5</t>
    </r>
    <r>
      <rPr>
        <strike/>
        <vertAlign val="superscript"/>
        <sz val="12"/>
        <color theme="1"/>
        <rFont val="Times New Roman"/>
        <family val="1"/>
      </rPr>
      <t>th</t>
    </r>
    <r>
      <rPr>
        <strike/>
        <sz val="12"/>
        <color theme="1"/>
        <rFont val="Times New Roman"/>
        <family val="1"/>
      </rPr>
      <t xml:space="preserve"> policy year, the owner elects to reduce the primary benefit face amount to 50,000 and cancels all riders.  </t>
    </r>
  </si>
  <si>
    <r>
      <t>·</t>
    </r>
    <r>
      <rPr>
        <strike/>
        <sz val="7"/>
        <color theme="1"/>
        <rFont val="Times New Roman"/>
        <family val="1"/>
      </rPr>
      <t xml:space="preserve">                </t>
    </r>
    <r>
      <rPr>
        <strike/>
        <sz val="12"/>
        <color theme="1"/>
        <rFont val="Times New Roman"/>
        <family val="1"/>
      </rPr>
      <t>Premiums are reduced to 1,080 per year.</t>
    </r>
  </si>
  <si>
    <r>
      <t>(b) (</t>
    </r>
    <r>
      <rPr>
        <i/>
        <strike/>
        <sz val="12"/>
        <color theme="1"/>
        <rFont val="Times New Roman"/>
        <family val="1"/>
      </rPr>
      <t>3 points</t>
    </r>
    <r>
      <rPr>
        <strike/>
        <sz val="12"/>
        <color theme="1"/>
        <rFont val="Times New Roman"/>
        <family val="1"/>
      </rPr>
      <t>)  You are given:</t>
    </r>
  </si>
  <si>
    <r>
      <t>(b)</t>
    </r>
    <r>
      <rPr>
        <strike/>
        <sz val="7"/>
        <color theme="1"/>
        <rFont val="Times New Roman"/>
        <family val="1"/>
      </rPr>
      <t>            (</t>
    </r>
    <r>
      <rPr>
        <i/>
        <strike/>
        <sz val="12"/>
        <color theme="1"/>
        <rFont val="Times New Roman"/>
        <family val="1"/>
      </rPr>
      <t>4 points</t>
    </r>
    <r>
      <rPr>
        <strike/>
        <sz val="12"/>
        <color theme="1"/>
        <rFont val="Times New Roman"/>
        <family val="1"/>
      </rPr>
      <t>)  You are given the following for a block of single premium deferred annuities (SPDA):</t>
    </r>
  </si>
  <si>
    <r>
      <t>·</t>
    </r>
    <r>
      <rPr>
        <strike/>
        <sz val="7"/>
        <color theme="1"/>
        <rFont val="Times New Roman"/>
        <family val="1"/>
      </rPr>
      <t xml:space="preserve">                </t>
    </r>
    <r>
      <rPr>
        <strike/>
        <sz val="12"/>
        <color theme="1"/>
        <rFont val="Times New Roman"/>
        <family val="1"/>
      </rPr>
      <t>Assume expenses vary directly with average annual assets.</t>
    </r>
  </si>
  <si>
    <r>
      <t>(i)</t>
    </r>
    <r>
      <rPr>
        <strike/>
        <sz val="7"/>
        <color theme="1"/>
        <rFont val="Times New Roman"/>
        <family val="1"/>
      </rPr>
      <t xml:space="preserve">             </t>
    </r>
    <r>
      <rPr>
        <strike/>
        <sz val="12"/>
        <color theme="1"/>
        <rFont val="Times New Roman"/>
        <family val="1"/>
      </rPr>
      <t>Investment income variance</t>
    </r>
  </si>
  <si>
    <r>
      <t>(ii)</t>
    </r>
    <r>
      <rPr>
        <strike/>
        <sz val="7"/>
        <color theme="1"/>
        <rFont val="Times New Roman"/>
        <family val="1"/>
      </rPr>
      <t xml:space="preserve">           </t>
    </r>
    <r>
      <rPr>
        <strike/>
        <sz val="12"/>
        <color theme="1"/>
        <rFont val="Times New Roman"/>
        <family val="1"/>
      </rPr>
      <t>Variance due to yield</t>
    </r>
  </si>
  <si>
    <r>
      <t>(iii)</t>
    </r>
    <r>
      <rPr>
        <strike/>
        <sz val="7"/>
        <color theme="1"/>
        <rFont val="Times New Roman"/>
        <family val="1"/>
      </rPr>
      <t xml:space="preserve">         </t>
    </r>
    <r>
      <rPr>
        <strike/>
        <sz val="12"/>
        <color theme="1"/>
        <rFont val="Times New Roman"/>
        <family val="1"/>
      </rPr>
      <t>Variance due to assets</t>
    </r>
  </si>
  <si>
    <r>
      <t>(iv)</t>
    </r>
    <r>
      <rPr>
        <strike/>
        <sz val="7"/>
        <color theme="1"/>
        <rFont val="Times New Roman"/>
        <family val="1"/>
      </rPr>
      <t xml:space="preserve">          </t>
    </r>
    <r>
      <rPr>
        <strike/>
        <sz val="12"/>
        <color theme="1"/>
        <rFont val="Times New Roman"/>
        <family val="1"/>
      </rPr>
      <t>Non-investment expense variance</t>
    </r>
  </si>
  <si>
    <r>
      <t>(v)</t>
    </r>
    <r>
      <rPr>
        <strike/>
        <sz val="7"/>
        <color theme="1"/>
        <rFont val="Times New Roman"/>
        <family val="1"/>
      </rPr>
      <t xml:space="preserve">           </t>
    </r>
    <r>
      <rPr>
        <strike/>
        <sz val="12"/>
        <color theme="1"/>
        <rFont val="Times New Roman"/>
        <family val="1"/>
      </rPr>
      <t>Variance due to expense ratio</t>
    </r>
  </si>
  <si>
    <r>
      <t>(a)</t>
    </r>
    <r>
      <rPr>
        <strike/>
        <sz val="7"/>
        <color theme="1"/>
        <rFont val="Times New Roman"/>
        <family val="1"/>
      </rPr>
      <t xml:space="preserve">            </t>
    </r>
    <r>
      <rPr>
        <strike/>
        <sz val="12"/>
        <color theme="1"/>
        <rFont val="Times New Roman"/>
        <family val="1"/>
      </rPr>
      <t>(</t>
    </r>
    <r>
      <rPr>
        <i/>
        <strike/>
        <sz val="12"/>
        <color theme="1"/>
        <rFont val="Times New Roman"/>
        <family val="1"/>
      </rPr>
      <t>5 points</t>
    </r>
    <r>
      <rPr>
        <strike/>
        <sz val="12"/>
        <color theme="1"/>
        <rFont val="Times New Roman"/>
        <family val="1"/>
      </rPr>
      <t>)  Calculate the comprehensive income for all years under the following:</t>
    </r>
  </si>
  <si>
    <r>
      <t>(i)</t>
    </r>
    <r>
      <rPr>
        <strike/>
        <sz val="7"/>
        <color theme="1"/>
        <rFont val="Times New Roman"/>
        <family val="1"/>
      </rPr>
      <t xml:space="preserve">             </t>
    </r>
    <r>
      <rPr>
        <strike/>
        <sz val="12"/>
        <color theme="1"/>
        <rFont val="Times New Roman"/>
        <family val="1"/>
      </rPr>
      <t>IFRS 4</t>
    </r>
  </si>
  <si>
    <r>
      <t>(ii)</t>
    </r>
    <r>
      <rPr>
        <strike/>
        <sz val="7"/>
        <color theme="1"/>
        <rFont val="Times New Roman"/>
        <family val="1"/>
      </rPr>
      <t xml:space="preserve">           </t>
    </r>
    <r>
      <rPr>
        <strike/>
        <sz val="12"/>
        <color theme="1"/>
        <rFont val="Times New Roman"/>
        <family val="1"/>
      </rPr>
      <t>IFRS 17</t>
    </r>
  </si>
  <si>
    <r>
      <t>(ii)</t>
    </r>
    <r>
      <rPr>
        <sz val="7"/>
        <color theme="1"/>
        <rFont val="Times New Roman"/>
        <family val="1"/>
      </rPr>
      <t xml:space="preserve">          </t>
    </r>
    <r>
      <rPr>
        <sz val="12"/>
        <color theme="1"/>
        <rFont val="Times New Roman"/>
        <family val="1"/>
      </rPr>
      <t>Host value</t>
    </r>
  </si>
  <si>
    <r>
      <t>(i)</t>
    </r>
    <r>
      <rPr>
        <sz val="7"/>
        <color theme="1"/>
        <rFont val="Times New Roman"/>
        <family val="1"/>
      </rPr>
      <t xml:space="preserve">             </t>
    </r>
    <r>
      <rPr>
        <sz val="12"/>
        <color theme="1"/>
        <rFont val="Times New Roman"/>
        <family val="1"/>
      </rPr>
      <t>Value of embedded derivative</t>
    </r>
  </si>
  <si>
    <t xml:space="preserve">Calculate the following GAAP liabilities at the end of year 2 using the option budget method: </t>
  </si>
  <si>
    <t>Index Credit</t>
  </si>
  <si>
    <t>Yr</t>
  </si>
  <si>
    <t>Decremented</t>
  </si>
  <si>
    <t>Undecremented</t>
  </si>
  <si>
    <t>There are no lapses other than 100% lapse at the end of year 5.</t>
  </si>
  <si>
    <t>Guaranteed minimum interest rate</t>
  </si>
  <si>
    <t>Guaranteed value first year load</t>
  </si>
  <si>
    <r>
      <t>(b)</t>
    </r>
    <r>
      <rPr>
        <sz val="7"/>
        <color theme="1"/>
        <rFont val="Times New Roman"/>
        <family val="1"/>
      </rPr>
      <t xml:space="preserve">   </t>
    </r>
    <r>
      <rPr>
        <sz val="12"/>
        <color theme="1"/>
        <rFont val="Times New Roman"/>
        <family val="1"/>
      </rPr>
      <t>(</t>
    </r>
    <r>
      <rPr>
        <i/>
        <sz val="12"/>
        <color theme="1"/>
        <rFont val="Times New Roman"/>
        <family val="1"/>
      </rPr>
      <t>4 points</t>
    </r>
    <r>
      <rPr>
        <sz val="12"/>
        <color theme="1"/>
        <rFont val="Times New Roman"/>
        <family val="1"/>
      </rPr>
      <t>)  For a 5-year point-to-point FIA without living benefits, you are given:</t>
    </r>
  </si>
  <si>
    <t>QUESTION 2 (b) i, ii</t>
  </si>
  <si>
    <r>
      <t>(ii)</t>
    </r>
    <r>
      <rPr>
        <sz val="7"/>
        <color theme="1"/>
        <rFont val="Times New Roman"/>
        <family val="1"/>
      </rPr>
      <t xml:space="preserve">           </t>
    </r>
    <r>
      <rPr>
        <sz val="12"/>
        <color theme="1"/>
        <rFont val="Times New Roman"/>
        <family val="1"/>
      </rPr>
      <t>Grouped Contract Approach</t>
    </r>
  </si>
  <si>
    <r>
      <t>(i)</t>
    </r>
    <r>
      <rPr>
        <sz val="7"/>
        <color theme="1"/>
        <rFont val="Times New Roman"/>
        <family val="1"/>
      </rPr>
      <t xml:space="preserve">             </t>
    </r>
    <r>
      <rPr>
        <sz val="12"/>
        <color theme="1"/>
        <rFont val="Times New Roman"/>
        <family val="1"/>
      </rPr>
      <t>Individual Contract Approach</t>
    </r>
  </si>
  <si>
    <r>
      <t>(b)</t>
    </r>
    <r>
      <rPr>
        <sz val="7"/>
        <color theme="1"/>
        <rFont val="Times New Roman"/>
        <family val="1"/>
      </rPr>
      <t xml:space="preserve">           </t>
    </r>
    <r>
      <rPr>
        <sz val="12"/>
        <color theme="1"/>
        <rFont val="Times New Roman"/>
        <family val="1"/>
      </rPr>
      <t>(</t>
    </r>
    <r>
      <rPr>
        <i/>
        <sz val="12"/>
        <color theme="1"/>
        <rFont val="Times New Roman"/>
        <family val="1"/>
      </rPr>
      <t>6 points</t>
    </r>
    <r>
      <rPr>
        <sz val="12"/>
        <color theme="1"/>
        <rFont val="Times New Roman"/>
        <family val="1"/>
      </rPr>
      <t>)  Determine the DAC asset to be reported for this block of business at the end of each of the next five years, under the following:</t>
    </r>
  </si>
  <si>
    <r>
      <t>(a)</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Calculate the deferrable acquisition expenses per individual policy.</t>
    </r>
  </si>
  <si>
    <t>Overhead Expense Per Policy</t>
  </si>
  <si>
    <t>Maintenance Expenses Per Policy</t>
  </si>
  <si>
    <t>Underwriting Expense per 1000 of Insurance</t>
  </si>
  <si>
    <t>Issue Expense Per Policy</t>
  </si>
  <si>
    <t>Marketing and Advertising Expenses Per Policy</t>
  </si>
  <si>
    <t>Duration</t>
  </si>
  <si>
    <t>Premium Tax</t>
  </si>
  <si>
    <t>Commission Override as % of Commission</t>
  </si>
  <si>
    <t>Commission as % of Premium</t>
  </si>
  <si>
    <t>Termination Rate</t>
  </si>
  <si>
    <t>For simplicity assume no mortality</t>
  </si>
  <si>
    <t>Percentage of successful sales</t>
  </si>
  <si>
    <t>Inflation per year</t>
  </si>
  <si>
    <t>Commissionable policy fee</t>
  </si>
  <si>
    <t>Average policy size</t>
  </si>
  <si>
    <t>Average premium per thousand of insurance issued</t>
  </si>
  <si>
    <t>Number of policies issued on January 1, 2024</t>
  </si>
  <si>
    <t>You are given the following:</t>
  </si>
  <si>
    <r>
      <t>(</t>
    </r>
    <r>
      <rPr>
        <i/>
        <sz val="12"/>
        <color theme="1"/>
        <rFont val="Times New Roman"/>
        <family val="1"/>
      </rPr>
      <t>10 points</t>
    </r>
    <r>
      <rPr>
        <sz val="12"/>
        <color theme="1"/>
        <rFont val="Times New Roman"/>
        <family val="1"/>
      </rPr>
      <t xml:space="preserve">)  You have been asked to develop a DAC asset schedule for a new level-premium 5-year renewable term product to be issued on January 1, 2024.  </t>
    </r>
  </si>
  <si>
    <t>Responses for parts (a), (b) i, and (b) ii are to be provided in this tab.</t>
  </si>
  <si>
    <t>QUESTION 3 (a) and (b) i,ii</t>
  </si>
  <si>
    <r>
      <t>(ii)</t>
    </r>
    <r>
      <rPr>
        <sz val="7"/>
        <color theme="1"/>
        <rFont val="Times New Roman"/>
        <family val="1"/>
      </rPr>
      <t xml:space="preserve">           </t>
    </r>
    <r>
      <rPr>
        <sz val="12"/>
        <color theme="1"/>
        <rFont val="Times New Roman"/>
        <family val="1"/>
      </rPr>
      <t>Accumulated Other Comprehensive Income</t>
    </r>
  </si>
  <si>
    <r>
      <t>(i)</t>
    </r>
    <r>
      <rPr>
        <sz val="7"/>
        <color theme="1"/>
        <rFont val="Times New Roman"/>
        <family val="1"/>
      </rPr>
      <t xml:space="preserve">             </t>
    </r>
    <r>
      <rPr>
        <sz val="12"/>
        <color theme="1"/>
        <rFont val="Times New Roman"/>
        <family val="1"/>
      </rPr>
      <t>GAAP reserve</t>
    </r>
  </si>
  <si>
    <t>Calculate the following as of 1/1/2023:</t>
  </si>
  <si>
    <t>Mortality as of 1/1/2022</t>
  </si>
  <si>
    <t>Spot rates as of 1//1/2023</t>
  </si>
  <si>
    <t>Spot rates as of 1/1/2022</t>
  </si>
  <si>
    <r>
      <t>·</t>
    </r>
    <r>
      <rPr>
        <sz val="7"/>
        <color theme="1"/>
        <rFont val="Times New Roman"/>
        <family val="1"/>
      </rPr>
      <t xml:space="preserve">                </t>
    </r>
    <r>
      <rPr>
        <sz val="12"/>
        <color theme="1"/>
        <rFont val="Times New Roman"/>
        <family val="1"/>
      </rPr>
      <t>No claim-related expenses</t>
    </r>
  </si>
  <si>
    <r>
      <t>·</t>
    </r>
    <r>
      <rPr>
        <sz val="7"/>
        <color theme="1"/>
        <rFont val="Times New Roman"/>
        <family val="1"/>
      </rPr>
      <t xml:space="preserve">                </t>
    </r>
    <r>
      <rPr>
        <sz val="12"/>
        <color theme="1"/>
        <rFont val="Times New Roman"/>
        <family val="1"/>
      </rPr>
      <t xml:space="preserve">Initial premium = </t>
    </r>
  </si>
  <si>
    <r>
      <t>·</t>
    </r>
    <r>
      <rPr>
        <sz val="7"/>
        <color theme="1"/>
        <rFont val="Times New Roman"/>
        <family val="1"/>
      </rPr>
      <t xml:space="preserve">                </t>
    </r>
    <r>
      <rPr>
        <sz val="12"/>
        <color theme="1"/>
        <rFont val="Times New Roman"/>
        <family val="1"/>
      </rPr>
      <t xml:space="preserve">Initial face amount = </t>
    </r>
  </si>
  <si>
    <r>
      <t>·</t>
    </r>
    <r>
      <rPr>
        <sz val="7"/>
        <color theme="1"/>
        <rFont val="Times New Roman"/>
        <family val="1"/>
      </rPr>
      <t xml:space="preserve">                </t>
    </r>
    <r>
      <rPr>
        <sz val="12"/>
        <color theme="1"/>
        <rFont val="Times New Roman"/>
        <family val="1"/>
      </rPr>
      <t>No cash value</t>
    </r>
  </si>
  <si>
    <r>
      <t>·</t>
    </r>
    <r>
      <rPr>
        <sz val="7"/>
        <color theme="1"/>
        <rFont val="Times New Roman"/>
        <family val="1"/>
      </rPr>
      <t xml:space="preserve">                </t>
    </r>
    <r>
      <rPr>
        <sz val="12"/>
        <color theme="1"/>
        <rFont val="Times New Roman"/>
        <family val="1"/>
      </rPr>
      <t>No lapses</t>
    </r>
  </si>
  <si>
    <r>
      <t>·</t>
    </r>
    <r>
      <rPr>
        <sz val="7"/>
        <color theme="1"/>
        <rFont val="Times New Roman"/>
        <family val="1"/>
      </rPr>
      <t xml:space="preserve">                </t>
    </r>
    <r>
      <rPr>
        <sz val="12"/>
        <color theme="1"/>
        <rFont val="Times New Roman"/>
        <family val="1"/>
      </rPr>
      <t>All policies are issued on 1/1/2022</t>
    </r>
  </si>
  <si>
    <r>
      <t>(b)</t>
    </r>
    <r>
      <rPr>
        <sz val="7"/>
        <color theme="1"/>
        <rFont val="Times New Roman"/>
        <family val="1"/>
      </rPr>
      <t xml:space="preserve">   </t>
    </r>
    <r>
      <rPr>
        <sz val="12"/>
        <color theme="1"/>
        <rFont val="Times New Roman"/>
        <family val="1"/>
      </rPr>
      <t>(</t>
    </r>
    <r>
      <rPr>
        <i/>
        <sz val="12"/>
        <color theme="1"/>
        <rFont val="Times New Roman"/>
        <family val="1"/>
      </rPr>
      <t>6 points</t>
    </r>
    <r>
      <rPr>
        <sz val="12"/>
        <color theme="1"/>
        <rFont val="Times New Roman"/>
        <family val="1"/>
      </rPr>
      <t>)  For the 10-year level premium level death benefit term product, you are given:</t>
    </r>
  </si>
  <si>
    <t>QUESTION 4 (b) i,ii</t>
  </si>
  <si>
    <r>
      <rPr>
        <sz val="7"/>
        <color theme="1"/>
        <rFont val="Times New Roman"/>
        <family val="1"/>
      </rPr>
      <t xml:space="preserve"> </t>
    </r>
    <r>
      <rPr>
        <sz val="12"/>
        <color theme="1"/>
        <rFont val="Times New Roman"/>
        <family val="1"/>
      </rPr>
      <t xml:space="preserve">Calculate the present value of the integrated benefit stream with no partial withdrawals that ends in a full withdrawal at the end of the fifth contract year as of the valuation date.  </t>
    </r>
  </si>
  <si>
    <t>Surrender Charge %</t>
  </si>
  <si>
    <t>Full surrender during the guarantee period is allowed, but incurs a surrender charge according to the following surrender charge schedule</t>
  </si>
  <si>
    <t>Projection Scale G2 Male, Age Nearest Birthday</t>
  </si>
  <si>
    <t>2012 IAM Male Age Nearest Birthday (1000qx)</t>
  </si>
  <si>
    <t>Valuation mortality</t>
  </si>
  <si>
    <t>Fund value (paid at end of contract year)</t>
  </si>
  <si>
    <t>Death benefit</t>
  </si>
  <si>
    <t>Valuation interest rate for withdrawal benefits</t>
  </si>
  <si>
    <t>Valuation interest rate for death benefits</t>
  </si>
  <si>
    <t>Fund value on valuation date</t>
  </si>
  <si>
    <t>Guaranteed interest credited rate</t>
  </si>
  <si>
    <t>Male</t>
  </si>
  <si>
    <t>Gender</t>
  </si>
  <si>
    <t>Valuation date</t>
  </si>
  <si>
    <r>
      <t>(a)</t>
    </r>
    <r>
      <rPr>
        <sz val="7"/>
        <color theme="1"/>
        <rFont val="Times New Roman"/>
        <family val="1"/>
      </rPr>
      <t xml:space="preserve">            </t>
    </r>
    <r>
      <rPr>
        <sz val="12"/>
        <color theme="1"/>
        <rFont val="Times New Roman"/>
        <family val="1"/>
      </rPr>
      <t>(</t>
    </r>
    <r>
      <rPr>
        <i/>
        <sz val="12"/>
        <color theme="1"/>
        <rFont val="Times New Roman"/>
        <family val="1"/>
      </rPr>
      <t>5 points</t>
    </r>
    <r>
      <rPr>
        <sz val="12"/>
        <color theme="1"/>
        <rFont val="Times New Roman"/>
        <family val="1"/>
      </rPr>
      <t>)  You are given the following for a fixed deferred annuity contract:</t>
    </r>
  </si>
  <si>
    <t xml:space="preserve"> SYL Life uses the Limited Fluctuation method to determine the credibility of its own mortality experience by count. You are given:</t>
  </si>
  <si>
    <t>The current credited interest rate is 1% higher than the guaranteed interest rate and fund value at the end of year 5 remains at 5,000</t>
  </si>
  <si>
    <t>(iv)</t>
  </si>
  <si>
    <r>
      <t>(iii)</t>
    </r>
    <r>
      <rPr>
        <sz val="7"/>
        <color theme="1"/>
        <rFont val="Times New Roman"/>
        <family val="1"/>
      </rPr>
      <t xml:space="preserve">         </t>
    </r>
    <r>
      <rPr>
        <sz val="12"/>
        <color rgb="FF000000"/>
        <rFont val="Times New Roman"/>
        <family val="1"/>
      </rPr>
      <t>The 10-year Treasury rate goes up by 50 basis points at the end of year 5</t>
    </r>
  </si>
  <si>
    <r>
      <t>(ii)</t>
    </r>
    <r>
      <rPr>
        <sz val="7"/>
        <color rgb="FF000000"/>
        <rFont val="Times New Roman"/>
        <family val="1"/>
      </rPr>
      <t xml:space="preserve">           </t>
    </r>
    <r>
      <rPr>
        <sz val="12"/>
        <color rgb="FF000000"/>
        <rFont val="Times New Roman"/>
        <family val="1"/>
      </rPr>
      <t>The policyholder has a surrender charge of 1,000 at the end of year 5</t>
    </r>
  </si>
  <si>
    <r>
      <t>(i)</t>
    </r>
    <r>
      <rPr>
        <sz val="7"/>
        <color rgb="FF000000"/>
        <rFont val="Times New Roman"/>
        <family val="1"/>
      </rPr>
      <t xml:space="preserve">             </t>
    </r>
    <r>
      <rPr>
        <sz val="12"/>
        <color rgb="FF000000"/>
        <rFont val="Times New Roman"/>
        <family val="1"/>
      </rPr>
      <t>The fund value at the end of year 5 is 50,000</t>
    </r>
  </si>
  <si>
    <r>
      <t>(</t>
    </r>
    <r>
      <rPr>
        <i/>
        <sz val="12"/>
        <color theme="1"/>
        <rFont val="Times New Roman"/>
        <family val="1"/>
      </rPr>
      <t>3 Points</t>
    </r>
    <r>
      <rPr>
        <sz val="12"/>
        <color theme="1"/>
        <rFont val="Times New Roman"/>
        <family val="1"/>
      </rPr>
      <t>)  Describe the effect on GMF and Net Premium Reserve</t>
    </r>
    <r>
      <rPr>
        <sz val="12"/>
        <color rgb="FF000000"/>
        <rFont val="Times New Roman"/>
        <family val="1"/>
      </rPr>
      <t xml:space="preserve"> in the following situations:</t>
    </r>
  </si>
  <si>
    <t>(c)</t>
  </si>
  <si>
    <r>
      <t>(</t>
    </r>
    <r>
      <rPr>
        <i/>
        <sz val="12"/>
        <color theme="1"/>
        <rFont val="Times New Roman"/>
        <family val="1"/>
      </rPr>
      <t>3 Points</t>
    </r>
    <r>
      <rPr>
        <sz val="12"/>
        <color theme="1"/>
        <rFont val="Times New Roman"/>
        <family val="1"/>
      </rPr>
      <t>)  Calculate the Net Premium Reserve under VM-20 (ignoring expense allowance) at the end of year 5. Show all work.</t>
    </r>
  </si>
  <si>
    <r>
      <t>ä</t>
    </r>
    <r>
      <rPr>
        <vertAlign val="subscript"/>
        <sz val="12"/>
        <color theme="1"/>
        <rFont val="Times New Roman"/>
        <family val="1"/>
      </rPr>
      <t>x</t>
    </r>
  </si>
  <si>
    <r>
      <t>A</t>
    </r>
    <r>
      <rPr>
        <vertAlign val="subscript"/>
        <sz val="12"/>
        <color theme="1"/>
        <rFont val="Times New Roman"/>
        <family val="1"/>
      </rPr>
      <t>x</t>
    </r>
  </si>
  <si>
    <r>
      <t>·</t>
    </r>
    <r>
      <rPr>
        <sz val="7"/>
        <color theme="1"/>
        <rFont val="Times New Roman"/>
        <family val="1"/>
      </rPr>
      <t xml:space="preserve">                </t>
    </r>
    <r>
      <rPr>
        <sz val="12"/>
        <color theme="1"/>
        <rFont val="Times New Roman"/>
        <family val="1"/>
      </rPr>
      <t>No surrender charges</t>
    </r>
  </si>
  <si>
    <r>
      <t>·</t>
    </r>
    <r>
      <rPr>
        <sz val="7"/>
        <color theme="1"/>
        <rFont val="Times New Roman"/>
        <family val="1"/>
      </rPr>
      <t xml:space="preserve">                </t>
    </r>
    <r>
      <rPr>
        <sz val="12"/>
        <color theme="1"/>
        <rFont val="Times New Roman"/>
        <family val="1"/>
      </rPr>
      <t xml:space="preserve">Guaranteed maturity fund (GMF) at the end of year 5: </t>
    </r>
  </si>
  <si>
    <r>
      <t>·</t>
    </r>
    <r>
      <rPr>
        <sz val="7"/>
        <color theme="1"/>
        <rFont val="Times New Roman"/>
        <family val="1"/>
      </rPr>
      <t xml:space="preserve">                </t>
    </r>
    <r>
      <rPr>
        <sz val="12"/>
        <color theme="1"/>
        <rFont val="Times New Roman"/>
        <family val="1"/>
      </rPr>
      <t xml:space="preserve">Guaranteed maturity premium (GMP): </t>
    </r>
  </si>
  <si>
    <r>
      <t>·</t>
    </r>
    <r>
      <rPr>
        <sz val="7"/>
        <color theme="1"/>
        <rFont val="Times New Roman"/>
        <family val="1"/>
      </rPr>
      <t xml:space="preserve">                </t>
    </r>
    <r>
      <rPr>
        <sz val="12"/>
        <color theme="1"/>
        <rFont val="Times New Roman"/>
        <family val="1"/>
      </rPr>
      <t xml:space="preserve">Current fund value at the end of year 5: </t>
    </r>
  </si>
  <si>
    <r>
      <t>·</t>
    </r>
    <r>
      <rPr>
        <sz val="7"/>
        <color theme="1"/>
        <rFont val="Times New Roman"/>
        <family val="1"/>
      </rPr>
      <t xml:space="preserve">                </t>
    </r>
    <r>
      <rPr>
        <sz val="12"/>
        <color theme="1"/>
        <rFont val="Times New Roman"/>
        <family val="1"/>
      </rPr>
      <t xml:space="preserve">Face amount: </t>
    </r>
  </si>
  <si>
    <r>
      <t>·</t>
    </r>
    <r>
      <rPr>
        <sz val="7"/>
        <color theme="1"/>
        <rFont val="Times New Roman"/>
        <family val="1"/>
      </rPr>
      <t xml:space="preserve">                </t>
    </r>
    <r>
      <rPr>
        <sz val="12"/>
        <color theme="1"/>
        <rFont val="Times New Roman"/>
        <family val="1"/>
      </rPr>
      <t xml:space="preserve">Issue Age: </t>
    </r>
  </si>
  <si>
    <t xml:space="preserve">MSY Life has a UL policy beyond the secondary guarantee period. You are given the following information: </t>
  </si>
  <si>
    <t>Responses for parts (b) and (c) i-iv are to be provided in this tab.</t>
  </si>
  <si>
    <t>QUESTION 7 (b) and (c)</t>
  </si>
  <si>
    <t>At the end of year 3 the policyholder takes a 40,000 partial withdrawal.  Calculate the taxable portion of the withdrawal, if any.</t>
  </si>
  <si>
    <t>(ii)</t>
  </si>
  <si>
    <t xml:space="preserve">Determine if the reserves for this policy qualify as life insurance reserves at the end of year 3.  </t>
  </si>
  <si>
    <t>(i)</t>
  </si>
  <si>
    <t>Year 4+</t>
  </si>
  <si>
    <t>Premiums paid</t>
  </si>
  <si>
    <t>7-pay premium</t>
  </si>
  <si>
    <t>GSP</t>
  </si>
  <si>
    <t>GLP</t>
  </si>
  <si>
    <t>Interest rate</t>
  </si>
  <si>
    <t>You are also given the following calculations for the policy:</t>
  </si>
  <si>
    <t>Responses for parts (a) i,ii and (b) i,ii are to be provided in this tab.</t>
  </si>
  <si>
    <t>QUESTION 8 (a) i,ii and (b) i,ii</t>
  </si>
  <si>
    <t>Calculate the initial IFRS17 CSM assuming a transition date of 12/31/2020.</t>
  </si>
  <si>
    <t>2001 CSO mortality</t>
  </si>
  <si>
    <t>Economic discount rate</t>
  </si>
  <si>
    <t>Claims</t>
  </si>
  <si>
    <t>2% of the PV of claims</t>
  </si>
  <si>
    <t>Adjustment for uncertainty</t>
  </si>
  <si>
    <t>Nonforfeiture interest rate</t>
  </si>
  <si>
    <t>Total Net Amount at Risk</t>
  </si>
  <si>
    <t xml:space="preserve">QUESTION 9 (b) </t>
  </si>
  <si>
    <t>GAAP reserve</t>
  </si>
  <si>
    <t>PV DB</t>
  </si>
  <si>
    <t xml:space="preserve">&lt;-- Adjusted the timing of interest rate discount as premiums are paid at the beginning of the period.  </t>
  </si>
  <si>
    <t>PV premium</t>
  </si>
  <si>
    <t>Time 0</t>
  </si>
  <si>
    <t>Current</t>
  </si>
  <si>
    <t>Locked-in</t>
  </si>
  <si>
    <t>End of period</t>
  </si>
  <si>
    <t>Discount as of 1/12023</t>
  </si>
  <si>
    <t>Discount at time 0</t>
  </si>
  <si>
    <t>Answer for b1</t>
  </si>
  <si>
    <t>Face(t-1)*qx</t>
  </si>
  <si>
    <t>Face(t-1)*Prem/unit</t>
  </si>
  <si>
    <t>tpx*Face</t>
  </si>
  <si>
    <t>Premium per unit</t>
  </si>
  <si>
    <t>Initial face amount</t>
  </si>
  <si>
    <t>As of 1/1/2022</t>
  </si>
  <si>
    <t>As of 1//1/2023</t>
  </si>
  <si>
    <t>Spot rate</t>
  </si>
  <si>
    <t>Final answer - part (a)</t>
  </si>
  <si>
    <t>Full Withdrawal Benefit</t>
  </si>
  <si>
    <t>Withdrawal Benefit Discount Factor</t>
  </si>
  <si>
    <t>Death Benefit Discount Factor</t>
  </si>
  <si>
    <t>BOY Survival Rate</t>
  </si>
  <si>
    <t>Mortality Rate (t-1)</t>
  </si>
  <si>
    <t>Fund Value</t>
  </si>
  <si>
    <t>Contract Year</t>
  </si>
  <si>
    <t>Discounted Beneft Streams</t>
  </si>
  <si>
    <t>Discount factor</t>
  </si>
  <si>
    <t>Elective Benefit</t>
  </si>
  <si>
    <t>Non-Elective Benefit</t>
  </si>
  <si>
    <t>Calculations</t>
  </si>
  <si>
    <t>Valuation Interest Rate (Withdrawal)</t>
  </si>
  <si>
    <t>Valuation Interest Rate (Mortality)</t>
  </si>
  <si>
    <t>Guaranteed Interest Credited Rate</t>
  </si>
  <si>
    <t>Data Provided</t>
  </si>
  <si>
    <r>
      <t>·</t>
    </r>
    <r>
      <rPr>
        <strike/>
        <sz val="7"/>
        <color theme="1"/>
        <rFont val="Times New Roman"/>
        <family val="1"/>
      </rPr>
      <t xml:space="preserve">                </t>
    </r>
    <r>
      <rPr>
        <strike/>
        <sz val="12"/>
        <color theme="1"/>
        <rFont val="Times New Roman"/>
        <family val="1"/>
      </rPr>
      <t xml:space="preserve">r = </t>
    </r>
  </si>
  <si>
    <r>
      <t>·</t>
    </r>
    <r>
      <rPr>
        <strike/>
        <sz val="7"/>
        <color theme="1"/>
        <rFont val="Times New Roman"/>
        <family val="1"/>
      </rPr>
      <t xml:space="preserve">                </t>
    </r>
    <r>
      <rPr>
        <strike/>
        <sz val="12"/>
        <color theme="1"/>
        <rFont val="Times New Roman"/>
        <family val="1"/>
      </rPr>
      <t xml:space="preserve">z-value = </t>
    </r>
  </si>
  <si>
    <r>
      <t>·</t>
    </r>
    <r>
      <rPr>
        <strike/>
        <sz val="7"/>
        <color theme="1"/>
        <rFont val="Times New Roman"/>
        <family val="1"/>
      </rPr>
      <t xml:space="preserve">                </t>
    </r>
    <r>
      <rPr>
        <strike/>
        <sz val="12"/>
        <color theme="1"/>
        <rFont val="Times New Roman"/>
        <family val="1"/>
      </rPr>
      <t>Mortality A/E ratio, by count=</t>
    </r>
  </si>
  <si>
    <r>
      <t>·</t>
    </r>
    <r>
      <rPr>
        <strike/>
        <sz val="7"/>
        <color theme="1"/>
        <rFont val="Times New Roman"/>
        <family val="1"/>
      </rPr>
      <t xml:space="preserve">                </t>
    </r>
    <r>
      <rPr>
        <strike/>
        <sz val="12"/>
        <color theme="1"/>
        <rFont val="Times New Roman"/>
        <family val="1"/>
      </rPr>
      <t>Mortality A/E ratio standard deviation, by count =</t>
    </r>
  </si>
  <si>
    <r>
      <t>·</t>
    </r>
    <r>
      <rPr>
        <strike/>
        <sz val="7"/>
        <color theme="1"/>
        <rFont val="Times New Roman"/>
        <family val="1"/>
      </rPr>
      <t xml:space="preserve">                </t>
    </r>
    <r>
      <rPr>
        <strike/>
        <sz val="12"/>
        <color theme="1"/>
        <rFont val="Times New Roman"/>
        <family val="1"/>
      </rPr>
      <t>2015 VBT</t>
    </r>
  </si>
  <si>
    <r>
      <t>(a)</t>
    </r>
    <r>
      <rPr>
        <strike/>
        <sz val="7"/>
        <color theme="1"/>
        <rFont val="Times New Roman"/>
        <family val="1"/>
      </rPr>
      <t xml:space="preserve">            </t>
    </r>
    <r>
      <rPr>
        <strike/>
        <sz val="12"/>
        <color theme="1"/>
        <rFont val="Times New Roman"/>
        <family val="1"/>
      </rPr>
      <t>(</t>
    </r>
    <r>
      <rPr>
        <i/>
        <strike/>
        <sz val="12"/>
        <color theme="1"/>
        <rFont val="Times New Roman"/>
        <family val="1"/>
      </rPr>
      <t>1 point</t>
    </r>
    <r>
      <rPr>
        <strike/>
        <sz val="12"/>
        <color theme="1"/>
        <rFont val="Times New Roman"/>
        <family val="1"/>
      </rPr>
      <t>)  Calculate the Limited Fluctuation credibility factor Z. Show all work.</t>
    </r>
  </si>
  <si>
    <r>
      <t>(</t>
    </r>
    <r>
      <rPr>
        <i/>
        <strike/>
        <sz val="12"/>
        <color theme="1"/>
        <rFont val="Times New Roman"/>
        <family val="1"/>
      </rPr>
      <t>2 points</t>
    </r>
    <r>
      <rPr>
        <strike/>
        <sz val="12"/>
        <color theme="1"/>
        <rFont val="Times New Roman"/>
        <family val="1"/>
      </rPr>
      <t xml:space="preserve">)  You are given the following information about a recently sold UL policy: </t>
    </r>
  </si>
  <si>
    <r>
      <t>·</t>
    </r>
    <r>
      <rPr>
        <strike/>
        <sz val="7"/>
        <color theme="1"/>
        <rFont val="Times New Roman"/>
        <family val="1"/>
      </rPr>
      <t xml:space="preserve">                </t>
    </r>
    <r>
      <rPr>
        <strike/>
        <sz val="12"/>
        <color theme="1"/>
        <rFont val="Times New Roman"/>
        <family val="1"/>
      </rPr>
      <t xml:space="preserve">Face amount, level death benefit: </t>
    </r>
  </si>
  <si>
    <r>
      <t>·</t>
    </r>
    <r>
      <rPr>
        <strike/>
        <sz val="7"/>
        <color theme="1"/>
        <rFont val="Times New Roman"/>
        <family val="1"/>
      </rPr>
      <t xml:space="preserve">                </t>
    </r>
    <r>
      <rPr>
        <strike/>
        <sz val="12"/>
        <color theme="1"/>
        <rFont val="Times New Roman"/>
        <family val="1"/>
      </rPr>
      <t>Issue age:</t>
    </r>
  </si>
  <si>
    <r>
      <t>·</t>
    </r>
    <r>
      <rPr>
        <strike/>
        <sz val="7"/>
        <color theme="1"/>
        <rFont val="Times New Roman"/>
        <family val="1"/>
      </rPr>
      <t xml:space="preserve">                </t>
    </r>
    <r>
      <rPr>
        <strike/>
        <sz val="12"/>
        <color theme="1"/>
        <rFont val="Times New Roman"/>
        <family val="1"/>
      </rPr>
      <t>Policy guaranteed interest rate:</t>
    </r>
  </si>
  <si>
    <r>
      <t>·</t>
    </r>
    <r>
      <rPr>
        <strike/>
        <sz val="7"/>
        <color theme="1"/>
        <rFont val="Times New Roman"/>
        <family val="1"/>
      </rPr>
      <t xml:space="preserve">                </t>
    </r>
    <r>
      <rPr>
        <strike/>
        <sz val="12"/>
        <color theme="1"/>
        <rFont val="Times New Roman"/>
        <family val="1"/>
      </rPr>
      <t xml:space="preserve">Applicable accumulation test minimum rate: </t>
    </r>
  </si>
  <si>
    <r>
      <t>·</t>
    </r>
    <r>
      <rPr>
        <strike/>
        <sz val="7"/>
        <color theme="1"/>
        <rFont val="Times New Roman"/>
        <family val="1"/>
      </rPr>
      <t xml:space="preserve">                </t>
    </r>
    <r>
      <rPr>
        <strike/>
        <sz val="12"/>
        <color theme="1"/>
        <rFont val="Times New Roman"/>
        <family val="1"/>
      </rPr>
      <t xml:space="preserve">Policy expenses, per year: </t>
    </r>
  </si>
  <si>
    <r>
      <t>·</t>
    </r>
    <r>
      <rPr>
        <strike/>
        <sz val="7"/>
        <color theme="1"/>
        <rFont val="Times New Roman"/>
        <family val="1"/>
      </rPr>
      <t xml:space="preserve">                </t>
    </r>
    <r>
      <rPr>
        <strike/>
        <sz val="12"/>
        <color theme="1"/>
        <rFont val="Times New Roman"/>
        <family val="1"/>
      </rPr>
      <t xml:space="preserve">Premium load, per year: </t>
    </r>
  </si>
  <si>
    <r>
      <t>ä</t>
    </r>
    <r>
      <rPr>
        <strike/>
        <vertAlign val="subscript"/>
        <sz val="12"/>
        <color theme="1"/>
        <rFont val="Times New Roman"/>
        <family val="1"/>
      </rPr>
      <t>45</t>
    </r>
  </si>
  <si>
    <r>
      <t>(i)</t>
    </r>
    <r>
      <rPr>
        <strike/>
        <sz val="7"/>
        <color theme="1"/>
        <rFont val="Times New Roman"/>
        <family val="1"/>
      </rPr>
      <t>   </t>
    </r>
    <r>
      <rPr>
        <strike/>
        <sz val="12"/>
        <color theme="1"/>
        <rFont val="Times New Roman"/>
        <family val="1"/>
      </rPr>
      <t>Calculate the Guideline Level Premium (GLP) for this policy.</t>
    </r>
  </si>
  <si>
    <r>
      <t>(ii)</t>
    </r>
    <r>
      <rPr>
        <strike/>
        <sz val="7"/>
        <color theme="1"/>
        <rFont val="Times New Roman"/>
        <family val="1"/>
      </rPr>
      <t>    </t>
    </r>
    <r>
      <rPr>
        <strike/>
        <sz val="12"/>
        <color theme="1"/>
        <rFont val="Times New Roman"/>
        <family val="1"/>
      </rPr>
      <t xml:space="preserve">Calculate the Guideline Single Premium (GSP) for this policy. </t>
    </r>
  </si>
  <si>
    <r>
      <t>(</t>
    </r>
    <r>
      <rPr>
        <i/>
        <strike/>
        <sz val="12"/>
        <color theme="1"/>
        <rFont val="Times New Roman"/>
        <family val="1"/>
      </rPr>
      <t>3 points</t>
    </r>
    <r>
      <rPr>
        <strike/>
        <sz val="12"/>
        <color theme="1"/>
        <rFont val="Times New Roman"/>
        <family val="1"/>
      </rPr>
      <t>)  You are given the following information about a UL policy that uses the Guideline Premium test:</t>
    </r>
  </si>
  <si>
    <r>
      <t>·</t>
    </r>
    <r>
      <rPr>
        <strike/>
        <sz val="7"/>
        <color theme="1"/>
        <rFont val="Times New Roman"/>
        <family val="1"/>
      </rPr>
      <t xml:space="preserve">                </t>
    </r>
    <r>
      <rPr>
        <strike/>
        <sz val="12"/>
        <color theme="1"/>
        <rFont val="Times New Roman"/>
        <family val="1"/>
      </rPr>
      <t>Premiums are paid at the beginning of the year</t>
    </r>
  </si>
  <si>
    <r>
      <t>·</t>
    </r>
    <r>
      <rPr>
        <strike/>
        <sz val="7"/>
        <color theme="1"/>
        <rFont val="Times New Roman"/>
        <family val="1"/>
      </rPr>
      <t xml:space="preserve">                </t>
    </r>
    <r>
      <rPr>
        <strike/>
        <sz val="12"/>
        <color theme="1"/>
        <rFont val="Times New Roman"/>
        <family val="1"/>
      </rPr>
      <t>No surrender charges</t>
    </r>
  </si>
  <si>
    <r>
      <t>·</t>
    </r>
    <r>
      <rPr>
        <strike/>
        <sz val="7"/>
        <color theme="1"/>
        <rFont val="Times New Roman"/>
        <family val="1"/>
      </rPr>
      <t xml:space="preserve">                </t>
    </r>
    <r>
      <rPr>
        <strike/>
        <sz val="12"/>
        <color theme="1"/>
        <rFont val="Times New Roman"/>
        <family val="1"/>
      </rPr>
      <t>There have been no material changes since issue</t>
    </r>
  </si>
  <si>
    <r>
      <t>·</t>
    </r>
    <r>
      <rPr>
        <strike/>
        <sz val="7"/>
        <color theme="1"/>
        <rFont val="Times New Roman"/>
        <family val="1"/>
      </rPr>
      <t xml:space="preserve">                </t>
    </r>
    <r>
      <rPr>
        <strike/>
        <sz val="12"/>
        <color theme="1"/>
        <rFont val="Times New Roman"/>
        <family val="1"/>
      </rPr>
      <t>Account value at the end of year 3: 130,000</t>
    </r>
  </si>
  <si>
    <r>
      <t>(b)</t>
    </r>
    <r>
      <rPr>
        <strike/>
        <sz val="7"/>
        <color theme="1"/>
        <rFont val="Times New Roman"/>
        <family val="1"/>
      </rPr>
      <t xml:space="preserve">            </t>
    </r>
    <r>
      <rPr>
        <strike/>
        <sz val="12"/>
        <color theme="1"/>
        <rFont val="Times New Roman"/>
        <family val="1"/>
      </rPr>
      <t>(</t>
    </r>
    <r>
      <rPr>
        <i/>
        <strike/>
        <sz val="12"/>
        <color theme="1"/>
        <rFont val="Times New Roman"/>
        <family val="1"/>
      </rPr>
      <t>3 points</t>
    </r>
    <r>
      <rPr>
        <strike/>
        <sz val="12"/>
        <color theme="1"/>
        <rFont val="Times New Roman"/>
        <family val="1"/>
      </rPr>
      <t>)  You are provided the following information for a sample block of term life insurance business that is issued on 12/31/2020. Assume:</t>
    </r>
  </si>
  <si>
    <r>
      <t>·</t>
    </r>
    <r>
      <rPr>
        <strike/>
        <sz val="7"/>
        <color theme="1"/>
        <rFont val="Times New Roman"/>
        <family val="1"/>
      </rPr>
      <t xml:space="preserve">                </t>
    </r>
    <r>
      <rPr>
        <strike/>
        <sz val="12"/>
        <color theme="1"/>
        <rFont val="Times New Roman"/>
        <family val="1"/>
      </rPr>
      <t>Premiums and commissions are paid at the beginning of the year</t>
    </r>
  </si>
  <si>
    <r>
      <t>·</t>
    </r>
    <r>
      <rPr>
        <strike/>
        <sz val="7"/>
        <color theme="1"/>
        <rFont val="Times New Roman"/>
        <family val="1"/>
      </rPr>
      <t xml:space="preserve">                </t>
    </r>
    <r>
      <rPr>
        <strike/>
        <sz val="12"/>
        <color theme="1"/>
        <rFont val="Times New Roman"/>
        <family val="1"/>
      </rPr>
      <t>Claims and expenses are paid at the end of the year</t>
    </r>
  </si>
  <si>
    <r>
      <t>·</t>
    </r>
    <r>
      <rPr>
        <strike/>
        <sz val="7"/>
        <color theme="1"/>
        <rFont val="Times New Roman"/>
        <family val="1"/>
      </rPr>
      <t xml:space="preserve">                </t>
    </r>
    <r>
      <rPr>
        <strike/>
        <sz val="12"/>
        <color theme="1"/>
        <rFont val="Times New Roman"/>
        <family val="1"/>
      </rPr>
      <t>Policy coverages terminate by the end of 2025 for this block</t>
    </r>
  </si>
  <si>
    <t>Maintenance Expense per Policy</t>
  </si>
  <si>
    <t>Lapse Rate</t>
  </si>
  <si>
    <t>Investment Interest Rate on Reserves</t>
  </si>
  <si>
    <t>Net Premium per policy</t>
  </si>
  <si>
    <t>Gross Premium per policy</t>
  </si>
  <si>
    <t>Beginning of Period Reserve per policy</t>
  </si>
  <si>
    <t xml:space="preserve">Actual Results </t>
  </si>
  <si>
    <t xml:space="preserve">GAAP Basis </t>
  </si>
  <si>
    <t>Values in the period:</t>
  </si>
  <si>
    <t xml:space="preserve">You are given the following: </t>
  </si>
  <si>
    <t>Responses for part (a) and (c) are to be provided in this tab.</t>
  </si>
  <si>
    <t>Responses for parts (b) and (d) are to be provided in the Word document.</t>
  </si>
  <si>
    <t>QUESTION 1 (a) and (c)</t>
  </si>
  <si>
    <t>(ii) The value of the MRB at year 4</t>
  </si>
  <si>
    <r>
      <t>(i)</t>
    </r>
    <r>
      <rPr>
        <sz val="7"/>
        <color theme="1"/>
        <rFont val="Times New Roman"/>
        <family val="1"/>
      </rPr>
      <t>  </t>
    </r>
    <r>
      <rPr>
        <sz val="12"/>
        <color theme="1"/>
        <rFont val="Times New Roman"/>
        <family val="1"/>
      </rPr>
      <t>Annual percentage of the account value that will be attributed to the host as fee revenue</t>
    </r>
  </si>
  <si>
    <t>Calculate the following under the non-option method:</t>
  </si>
  <si>
    <t>At inception</t>
  </si>
  <si>
    <t>PV of fees collected from the account</t>
  </si>
  <si>
    <r>
      <t>·</t>
    </r>
    <r>
      <rPr>
        <sz val="7"/>
        <color theme="1"/>
        <rFont val="Times New Roman"/>
        <family val="1"/>
      </rPr>
      <t xml:space="preserve">       </t>
    </r>
    <r>
      <rPr>
        <sz val="12"/>
        <color theme="1"/>
        <rFont val="Times New Roman"/>
        <family val="1"/>
      </rPr>
      <t>The present value of fees collected from the account using fair value assumptions:</t>
    </r>
  </si>
  <si>
    <t>GMAB and GMDB</t>
  </si>
  <si>
    <t>GMDB only</t>
  </si>
  <si>
    <t>GMAB only</t>
  </si>
  <si>
    <r>
      <t>·</t>
    </r>
    <r>
      <rPr>
        <sz val="7"/>
        <color theme="1"/>
        <rFont val="Times New Roman"/>
        <family val="1"/>
      </rPr>
      <t xml:space="preserve">       </t>
    </r>
    <r>
      <rPr>
        <sz val="12"/>
        <color theme="1"/>
        <rFont val="Times New Roman"/>
        <family val="1"/>
      </rPr>
      <t>The present value of the benefits to be paid in excess of the account balance using fair value assumptions:</t>
    </r>
  </si>
  <si>
    <r>
      <t>·</t>
    </r>
    <r>
      <rPr>
        <sz val="7"/>
        <color theme="1"/>
        <rFont val="Times New Roman"/>
        <family val="1"/>
      </rPr>
      <t xml:space="preserve">       </t>
    </r>
    <r>
      <rPr>
        <sz val="12"/>
        <color theme="1"/>
        <rFont val="Times New Roman"/>
        <family val="1"/>
      </rPr>
      <t>Fees of 1.5% of the account value will be deducted from the account balance each year.</t>
    </r>
  </si>
  <si>
    <r>
      <t>(c)</t>
    </r>
    <r>
      <rPr>
        <sz val="7"/>
        <color theme="1"/>
        <rFont val="Times New Roman"/>
        <family val="1"/>
      </rPr>
      <t xml:space="preserve">  </t>
    </r>
    <r>
      <rPr>
        <sz val="12"/>
        <color theme="1"/>
        <rFont val="Times New Roman"/>
        <family val="1"/>
      </rPr>
      <t>(</t>
    </r>
    <r>
      <rPr>
        <i/>
        <sz val="12"/>
        <color theme="1"/>
        <rFont val="Times New Roman"/>
        <family val="1"/>
      </rPr>
      <t>3 points</t>
    </r>
    <r>
      <rPr>
        <sz val="12"/>
        <color theme="1"/>
        <rFont val="Times New Roman"/>
        <family val="1"/>
      </rPr>
      <t>)  You are given the following information about a variable annuity contract with a GMAB and GMDB rider:</t>
    </r>
  </si>
  <si>
    <t>QUESTION 4 (c)</t>
  </si>
  <si>
    <t xml:space="preserve">Minimum Regulatory Capital </t>
  </si>
  <si>
    <t>Total Available Capital</t>
  </si>
  <si>
    <t>Total of All Other Subsidiaries of AIF (Non-US)</t>
  </si>
  <si>
    <t>MJE</t>
  </si>
  <si>
    <t>AIF</t>
  </si>
  <si>
    <t>Single Premium Deferred Annuity (SPDA) to mid-income households. You are given the following information:</t>
  </si>
  <si>
    <t xml:space="preserve">AIF Life is a global insurance group that operates in both the United States and European countries. MJE Life is a US-based subsidiary of AIF that primarily sells </t>
  </si>
  <si>
    <r>
      <t>(b)</t>
    </r>
    <r>
      <rPr>
        <sz val="7"/>
        <color theme="1"/>
        <rFont val="Times New Roman"/>
        <family val="1"/>
      </rPr>
      <t xml:space="preserve">  </t>
    </r>
    <r>
      <rPr>
        <sz val="12"/>
        <color theme="1"/>
        <rFont val="Times New Roman"/>
        <family val="1"/>
      </rPr>
      <t>(</t>
    </r>
    <r>
      <rPr>
        <i/>
        <sz val="12"/>
        <color theme="1"/>
        <rFont val="Times New Roman"/>
        <family val="1"/>
      </rPr>
      <t>1 point</t>
    </r>
    <r>
      <rPr>
        <sz val="12"/>
        <color theme="1"/>
        <rFont val="Times New Roman"/>
        <family val="1"/>
      </rPr>
      <t>)  Calculate GAAP DAC capitalization at issue.</t>
    </r>
  </si>
  <si>
    <t>These policies are in the same GAAP cohort / IFRS 17group.</t>
  </si>
  <si>
    <t>Assume risk-adjusted PV are calculated using current assumption at issue.</t>
  </si>
  <si>
    <t>Policy benefits</t>
  </si>
  <si>
    <t>Policy service expense</t>
  </si>
  <si>
    <t>Policy underwriting expense</t>
  </si>
  <si>
    <t>Premium tax</t>
  </si>
  <si>
    <t>Commission</t>
  </si>
  <si>
    <t>Risk-adjusted PV at issue</t>
  </si>
  <si>
    <t>First Year Cashflow</t>
  </si>
  <si>
    <t>You are also given the following information for a group of life insurance policies sold by Company DEF in a month:</t>
  </si>
  <si>
    <t>Company DEF plans to fully adopt ASU 2018-12 by the end of the current year.</t>
  </si>
  <si>
    <t>Responses for part (b) and (c) are to be provided in this tab.</t>
  </si>
  <si>
    <t>Responses for parts (a), (d), and (e) are to be provided in the Word document.</t>
  </si>
  <si>
    <r>
      <rPr>
        <sz val="12"/>
        <color theme="1"/>
        <rFont val="Times New Roman"/>
        <family val="1"/>
      </rPr>
      <t>(iii)</t>
    </r>
    <r>
      <rPr>
        <i/>
        <sz val="12"/>
        <color theme="1"/>
        <rFont val="Times New Roman"/>
        <family val="1"/>
      </rPr>
      <t xml:space="preserve"> (3 points</t>
    </r>
    <r>
      <rPr>
        <sz val="12"/>
        <color theme="1"/>
        <rFont val="Times New Roman"/>
        <family val="1"/>
      </rPr>
      <t xml:space="preserve">)  Determine the GAAP profit for each policy year 1 through 5, assuming actual realized experience match the assumed assumptions. </t>
    </r>
  </si>
  <si>
    <r>
      <t>(ii) (</t>
    </r>
    <r>
      <rPr>
        <i/>
        <sz val="12"/>
        <color theme="1"/>
        <rFont val="Times New Roman"/>
        <family val="1"/>
      </rPr>
      <t>1 point</t>
    </r>
    <r>
      <rPr>
        <sz val="12"/>
        <color theme="1"/>
        <rFont val="Times New Roman"/>
        <family val="1"/>
      </rPr>
      <t>)  Calculate the GAAP net policy reserves for the end of each policy year 1 through 5.</t>
    </r>
  </si>
  <si>
    <r>
      <t>(i)</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Calculate the discounted interest rate needed to determine the net policy reserves.  (Hint:  Use IRR function in Excel to determine this interest rate.)</t>
    </r>
  </si>
  <si>
    <t>With respect to the Constant Yield Method:</t>
  </si>
  <si>
    <r>
      <t>·</t>
    </r>
    <r>
      <rPr>
        <sz val="7"/>
        <color theme="1"/>
        <rFont val="Times New Roman"/>
        <family val="1"/>
      </rPr>
      <t xml:space="preserve">       </t>
    </r>
    <r>
      <rPr>
        <sz val="12"/>
        <color theme="1"/>
        <rFont val="Times New Roman"/>
        <family val="1"/>
      </rPr>
      <t>Investment rate of return in all policy years:  6.50%</t>
    </r>
  </si>
  <si>
    <r>
      <t>·</t>
    </r>
    <r>
      <rPr>
        <sz val="7"/>
        <color theme="1"/>
        <rFont val="Times New Roman"/>
        <family val="1"/>
      </rPr>
      <t xml:space="preserve">       </t>
    </r>
    <r>
      <rPr>
        <sz val="12"/>
        <color theme="1"/>
        <rFont val="Times New Roman"/>
        <family val="1"/>
      </rPr>
      <t>Maintenance expenses incurred at the end of each policy year 1 to 5:  15</t>
    </r>
  </si>
  <si>
    <r>
      <t>·</t>
    </r>
    <r>
      <rPr>
        <sz val="7"/>
        <color theme="1"/>
        <rFont val="Times New Roman"/>
        <family val="1"/>
      </rPr>
      <t xml:space="preserve">       </t>
    </r>
    <r>
      <rPr>
        <sz val="12"/>
        <color theme="1"/>
        <rFont val="Times New Roman"/>
        <family val="1"/>
      </rPr>
      <t>Policy benefits paid at the end of each policy year 1 to 5:  300</t>
    </r>
  </si>
  <si>
    <r>
      <t>·</t>
    </r>
    <r>
      <rPr>
        <sz val="7"/>
        <color theme="1"/>
        <rFont val="Times New Roman"/>
        <family val="1"/>
      </rPr>
      <t xml:space="preserve">       </t>
    </r>
    <r>
      <rPr>
        <sz val="12"/>
        <color theme="1"/>
        <rFont val="Times New Roman"/>
        <family val="1"/>
      </rPr>
      <t>Acquisition expenses incurred at beginning of policy year 1:  75</t>
    </r>
  </si>
  <si>
    <r>
      <t>·</t>
    </r>
    <r>
      <rPr>
        <sz val="7"/>
        <color theme="1"/>
        <rFont val="Times New Roman"/>
        <family val="1"/>
      </rPr>
      <t xml:space="preserve">       </t>
    </r>
    <r>
      <rPr>
        <sz val="12"/>
        <color theme="1"/>
        <rFont val="Times New Roman"/>
        <family val="1"/>
      </rPr>
      <t>Premium paid at beginning of policy year 1:  1,400</t>
    </r>
  </si>
  <si>
    <r>
      <t>(b)</t>
    </r>
    <r>
      <rPr>
        <sz val="7"/>
        <color theme="1"/>
        <rFont val="Times New Roman"/>
        <family val="1"/>
      </rPr>
      <t xml:space="preserve"> </t>
    </r>
    <r>
      <rPr>
        <sz val="12"/>
        <color theme="1"/>
        <rFont val="Times New Roman"/>
        <family val="1"/>
      </rPr>
      <t>(</t>
    </r>
    <r>
      <rPr>
        <i/>
        <sz val="12"/>
        <color theme="1"/>
        <rFont val="Times New Roman"/>
        <family val="1"/>
      </rPr>
      <t>6 points</t>
    </r>
    <r>
      <rPr>
        <sz val="12"/>
        <color theme="1"/>
        <rFont val="Times New Roman"/>
        <family val="1"/>
      </rPr>
      <t>)  You are given the following data for a 5-Year certain annuity contract:</t>
    </r>
  </si>
  <si>
    <r>
      <t>(ii)</t>
    </r>
    <r>
      <rPr>
        <sz val="7"/>
        <color theme="1"/>
        <rFont val="Times New Roman"/>
        <family val="1"/>
      </rPr>
      <t xml:space="preserve">  </t>
    </r>
    <r>
      <rPr>
        <sz val="12"/>
        <color theme="1"/>
        <rFont val="Times New Roman"/>
        <family val="1"/>
      </rPr>
      <t>(2 points) Assume the above policies are issued on January 1, 2022. Calculate the Deterministic Reserve as of December 31, 2022 using the Prospective Method.</t>
    </r>
  </si>
  <si>
    <t>(i) (8 points) Revise the calculations, where necessary, to assure the accurate calculation of pre-PBR CRVM and deficiency reserves.</t>
  </si>
  <si>
    <t>Per Unit Inforce</t>
  </si>
  <si>
    <t>Per Unit</t>
  </si>
  <si>
    <t>Inforce(t)</t>
  </si>
  <si>
    <t>p(x,t)</t>
  </si>
  <si>
    <t>Allowance</t>
  </si>
  <si>
    <t>Reserves</t>
  </si>
  <si>
    <t>Net Level Premium</t>
  </si>
  <si>
    <t>of $1</t>
  </si>
  <si>
    <t>Future Death Benefits</t>
  </si>
  <si>
    <t>of Premiums</t>
  </si>
  <si>
    <t>of Death Benefits</t>
  </si>
  <si>
    <t>Premiums(t)</t>
  </si>
  <si>
    <t>Deaths(t)</t>
  </si>
  <si>
    <t>v(t)</t>
  </si>
  <si>
    <t>Deficiency</t>
  </si>
  <si>
    <t>Basic Reserve</t>
  </si>
  <si>
    <t>CRVM</t>
  </si>
  <si>
    <t>Experience</t>
  </si>
  <si>
    <t>Valuation Net</t>
  </si>
  <si>
    <t>Expense</t>
  </si>
  <si>
    <t>Annuity Due</t>
  </si>
  <si>
    <t>Policy</t>
  </si>
  <si>
    <t>Basic</t>
  </si>
  <si>
    <t>Gross</t>
  </si>
  <si>
    <t>Per $1000 Inforce</t>
  </si>
  <si>
    <t>Unamortized</t>
  </si>
  <si>
    <t>Beginning of</t>
  </si>
  <si>
    <t>Annual</t>
  </si>
  <si>
    <t xml:space="preserve">Calculation of CRVM and Deficiency Reserves </t>
  </si>
  <si>
    <t>With respect to the following calculations:</t>
  </si>
  <si>
    <t>Insurance Inforce</t>
  </si>
  <si>
    <t>Earned Rate</t>
  </si>
  <si>
    <t>Amount of</t>
  </si>
  <si>
    <t>Net Asset</t>
  </si>
  <si>
    <t>Experience Data and Assumptions</t>
  </si>
  <si>
    <r>
      <t>·</t>
    </r>
    <r>
      <rPr>
        <strike/>
        <sz val="7"/>
        <color theme="1"/>
        <rFont val="Times New Roman"/>
        <family val="1"/>
      </rPr>
      <t xml:space="preserve">       </t>
    </r>
    <r>
      <rPr>
        <sz val="12"/>
        <color theme="1"/>
        <rFont val="Times New Roman"/>
        <family val="1"/>
      </rPr>
      <t>Experience data and assumptions are provided in the spreadsheet.</t>
    </r>
  </si>
  <si>
    <r>
      <t>·</t>
    </r>
    <r>
      <rPr>
        <strike/>
        <sz val="7"/>
        <color theme="1"/>
        <rFont val="Times New Roman"/>
        <family val="1"/>
      </rPr>
      <t xml:space="preserve">       </t>
    </r>
    <r>
      <rPr>
        <sz val="12"/>
        <color theme="1"/>
        <rFont val="Times New Roman"/>
        <family val="1"/>
      </rPr>
      <t>Valuation assumptions correspond to minimum valuation standards as allowed by the Standard Valuation Law.</t>
    </r>
  </si>
  <si>
    <r>
      <t>·</t>
    </r>
    <r>
      <rPr>
        <sz val="7"/>
        <color theme="1"/>
        <rFont val="Times New Roman"/>
        <family val="1"/>
      </rPr>
      <t xml:space="preserve">       </t>
    </r>
    <r>
      <rPr>
        <sz val="12"/>
        <color theme="1"/>
        <rFont val="Times New Roman"/>
        <family val="1"/>
      </rPr>
      <t>All cash flows are assumed to occur at the beginning of each year.</t>
    </r>
  </si>
  <si>
    <r>
      <t>·</t>
    </r>
    <r>
      <rPr>
        <sz val="7"/>
        <color theme="1"/>
        <rFont val="Times New Roman"/>
        <family val="1"/>
      </rPr>
      <t xml:space="preserve">       </t>
    </r>
    <r>
      <rPr>
        <sz val="12"/>
        <color theme="1"/>
        <rFont val="Times New Roman"/>
        <family val="1"/>
      </rPr>
      <t xml:space="preserve">issued to males aged 55 </t>
    </r>
  </si>
  <si>
    <r>
      <t>·</t>
    </r>
    <r>
      <rPr>
        <sz val="7"/>
        <color theme="1"/>
        <rFont val="Times New Roman"/>
        <family val="1"/>
      </rPr>
      <t xml:space="preserve">       </t>
    </r>
    <r>
      <rPr>
        <sz val="12"/>
        <color theme="1"/>
        <rFont val="Times New Roman"/>
        <family val="1"/>
      </rPr>
      <t>a block of 10-year level-premium, level death benefit term insurance policies</t>
    </r>
  </si>
  <si>
    <r>
      <t>(a)</t>
    </r>
    <r>
      <rPr>
        <sz val="7"/>
        <color theme="1"/>
        <rFont val="Times New Roman"/>
        <family val="1"/>
      </rPr>
      <t xml:space="preserve">            </t>
    </r>
    <r>
      <rPr>
        <sz val="12"/>
        <color theme="1"/>
        <rFont val="Times New Roman"/>
        <family val="1"/>
      </rPr>
      <t>(</t>
    </r>
    <r>
      <rPr>
        <i/>
        <sz val="12"/>
        <color theme="1"/>
        <rFont val="Times New Roman"/>
        <family val="1"/>
      </rPr>
      <t>10 points</t>
    </r>
    <r>
      <rPr>
        <sz val="12"/>
        <color theme="1"/>
        <rFont val="Times New Roman"/>
        <family val="1"/>
      </rPr>
      <t>)  You are given:</t>
    </r>
  </si>
  <si>
    <t>QUESTION 10 (a)</t>
  </si>
  <si>
    <t>Given</t>
  </si>
  <si>
    <t>Investment Rate of Return:</t>
  </si>
  <si>
    <t>Using IRR Function (not sensitive to starting value)</t>
  </si>
  <si>
    <t>Discounted Interest Rate:</t>
  </si>
  <si>
    <t>Profit</t>
  </si>
  <si>
    <t>Flow</t>
  </si>
  <si>
    <t>(EOY)</t>
  </si>
  <si>
    <t>(BOY)</t>
  </si>
  <si>
    <t>Net</t>
  </si>
  <si>
    <t>Net Cash</t>
  </si>
  <si>
    <t>Maintenance</t>
  </si>
  <si>
    <t>Acquisition</t>
  </si>
  <si>
    <t>(iii)</t>
  </si>
  <si>
    <t>Demonstration of Constant Yield Method for Accounting for a 5-Year Certain Annuity</t>
  </si>
  <si>
    <t>`</t>
  </si>
  <si>
    <t>Calculation of CRVM and Deficiency Reserves Provided to Candidates</t>
  </si>
  <si>
    <t>(The following tables are given in the question)</t>
  </si>
  <si>
    <t>Correct Calculation of Reserves:  changes are higlighted in blue</t>
  </si>
  <si>
    <t>before FIT</t>
  </si>
  <si>
    <t>Outflow</t>
  </si>
  <si>
    <t>(inflows)</t>
  </si>
  <si>
    <t>Cash Flows</t>
  </si>
  <si>
    <t>(a) (ii)</t>
  </si>
  <si>
    <t>Question 10 Excel Model Solution</t>
  </si>
  <si>
    <r>
      <t>·</t>
    </r>
    <r>
      <rPr>
        <strike/>
        <sz val="7"/>
        <color theme="1"/>
        <rFont val="Times New Roman"/>
        <family val="1"/>
      </rPr>
      <t xml:space="preserve">       </t>
    </r>
    <r>
      <rPr>
        <strike/>
        <sz val="12"/>
        <color theme="1"/>
        <rFont val="Times New Roman"/>
        <family val="1"/>
      </rPr>
      <t>Beginning of Period Policies in Force:  5,000</t>
    </r>
  </si>
  <si>
    <r>
      <t>·</t>
    </r>
    <r>
      <rPr>
        <strike/>
        <sz val="7"/>
        <color theme="1"/>
        <rFont val="Times New Roman"/>
        <family val="1"/>
      </rPr>
      <t xml:space="preserve">       </t>
    </r>
    <r>
      <rPr>
        <strike/>
        <sz val="12"/>
        <color theme="1"/>
        <rFont val="Times New Roman"/>
        <family val="1"/>
      </rPr>
      <t>Policy Death Benefit per policy:  100,000</t>
    </r>
  </si>
  <si>
    <r>
      <t>·</t>
    </r>
    <r>
      <rPr>
        <strike/>
        <sz val="7"/>
        <color theme="1"/>
        <rFont val="Times New Roman"/>
        <family val="1"/>
      </rPr>
      <t xml:space="preserve">       </t>
    </r>
    <r>
      <rPr>
        <strike/>
        <sz val="12"/>
        <color theme="1"/>
        <rFont val="Times New Roman"/>
        <family val="1"/>
      </rPr>
      <t>All premium is collected at the beginning of period.</t>
    </r>
  </si>
  <si>
    <r>
      <t>·</t>
    </r>
    <r>
      <rPr>
        <strike/>
        <sz val="7"/>
        <color theme="1"/>
        <rFont val="Times New Roman"/>
        <family val="1"/>
      </rPr>
      <t xml:space="preserve">       </t>
    </r>
    <r>
      <rPr>
        <strike/>
        <sz val="12"/>
        <color theme="1"/>
        <rFont val="Times New Roman"/>
        <family val="1"/>
      </rPr>
      <t>All deaths and lapses occur at end of period.</t>
    </r>
  </si>
  <si>
    <r>
      <t>·</t>
    </r>
    <r>
      <rPr>
        <strike/>
        <sz val="7"/>
        <color theme="1"/>
        <rFont val="Times New Roman"/>
        <family val="1"/>
      </rPr>
      <t xml:space="preserve">       </t>
    </r>
    <r>
      <rPr>
        <strike/>
        <sz val="12"/>
        <color theme="1"/>
        <rFont val="Times New Roman"/>
        <family val="1"/>
      </rPr>
      <t>There are no surrender benefits.</t>
    </r>
  </si>
  <si>
    <r>
      <t>·</t>
    </r>
    <r>
      <rPr>
        <strike/>
        <sz val="7"/>
        <color theme="1"/>
        <rFont val="Times New Roman"/>
        <family val="1"/>
      </rPr>
      <t xml:space="preserve">       </t>
    </r>
    <r>
      <rPr>
        <strike/>
        <sz val="12"/>
        <color theme="1"/>
        <rFont val="Times New Roman"/>
        <family val="1"/>
      </rPr>
      <t>Expenses are paid at the beginning of the period for policies in-force at the beginning of period.</t>
    </r>
  </si>
  <si>
    <r>
      <t>(a)</t>
    </r>
    <r>
      <rPr>
        <strike/>
        <sz val="7"/>
        <color theme="1"/>
        <rFont val="Times New Roman"/>
        <family val="1"/>
      </rPr>
      <t>  </t>
    </r>
    <r>
      <rPr>
        <strike/>
        <sz val="12"/>
        <color theme="1"/>
        <rFont val="Times New Roman"/>
        <family val="1"/>
      </rPr>
      <t>(</t>
    </r>
    <r>
      <rPr>
        <i/>
        <strike/>
        <sz val="12"/>
        <color theme="1"/>
        <rFont val="Times New Roman"/>
        <family val="1"/>
      </rPr>
      <t>2 points</t>
    </r>
    <r>
      <rPr>
        <strike/>
        <sz val="12"/>
        <color theme="1"/>
        <rFont val="Times New Roman"/>
        <family val="1"/>
      </rPr>
      <t>)  Construct an Analysis in Change in Reserves for the GAAP expectation and actual results.</t>
    </r>
  </si>
  <si>
    <r>
      <t>(c)  (</t>
    </r>
    <r>
      <rPr>
        <i/>
        <strike/>
        <sz val="12"/>
        <color theme="1"/>
        <rFont val="Times New Roman"/>
        <family val="1"/>
      </rPr>
      <t>4 points</t>
    </r>
    <r>
      <rPr>
        <strike/>
        <sz val="12"/>
        <color theme="1"/>
        <rFont val="Times New Roman"/>
        <family val="1"/>
      </rPr>
      <t>)  Construct a Source of Earnings analysis for the GAAP expectation and actual results.</t>
    </r>
  </si>
  <si>
    <r>
      <t>·</t>
    </r>
    <r>
      <rPr>
        <strike/>
        <sz val="7"/>
        <color theme="1"/>
        <rFont val="Times New Roman"/>
        <family val="1"/>
      </rPr>
      <t xml:space="preserve">       </t>
    </r>
    <r>
      <rPr>
        <strike/>
        <sz val="12"/>
        <color theme="1"/>
        <rFont val="Times New Roman"/>
        <family val="1"/>
      </rPr>
      <t>The SPDA does not have surrender charges</t>
    </r>
  </si>
  <si>
    <r>
      <t>·</t>
    </r>
    <r>
      <rPr>
        <strike/>
        <sz val="7"/>
        <color theme="1"/>
        <rFont val="Times New Roman"/>
        <family val="1"/>
      </rPr>
      <t xml:space="preserve">       </t>
    </r>
    <r>
      <rPr>
        <strike/>
        <sz val="12"/>
        <color theme="1"/>
        <rFont val="Times New Roman"/>
        <family val="1"/>
      </rPr>
      <t>MJE has an overall asset duration of 10.5 and liability duration of 9.5</t>
    </r>
  </si>
  <si>
    <r>
      <t>·</t>
    </r>
    <r>
      <rPr>
        <strike/>
        <sz val="7"/>
        <color theme="1"/>
        <rFont val="Times New Roman"/>
        <family val="1"/>
      </rPr>
      <t xml:space="preserve">       </t>
    </r>
    <r>
      <rPr>
        <strike/>
        <sz val="12"/>
        <color theme="1"/>
        <rFont val="Times New Roman"/>
        <family val="1"/>
      </rPr>
      <t>The Authorized Control Level RBC for MJE is 2.0</t>
    </r>
  </si>
  <si>
    <r>
      <t>(b) (</t>
    </r>
    <r>
      <rPr>
        <i/>
        <strike/>
        <sz val="12"/>
        <color theme="1"/>
        <rFont val="Times New Roman"/>
        <family val="1"/>
      </rPr>
      <t>2 points</t>
    </r>
    <r>
      <rPr>
        <strike/>
        <sz val="12"/>
        <color theme="1"/>
        <rFont val="Times New Roman"/>
        <family val="1"/>
      </rPr>
      <t>)</t>
    </r>
    <r>
      <rPr>
        <i/>
        <strike/>
        <sz val="12"/>
        <color theme="1"/>
        <rFont val="Times New Roman"/>
        <family val="1"/>
      </rPr>
      <t xml:space="preserve">  </t>
    </r>
    <r>
      <rPr>
        <strike/>
        <sz val="12"/>
        <color theme="1"/>
        <rFont val="Times New Roman"/>
        <family val="1"/>
      </rPr>
      <t>Calculate the Group Capital Ratio for AIF.  Show all work.</t>
    </r>
  </si>
  <si>
    <t>Part c NO LONGER RELEVANT</t>
  </si>
  <si>
    <r>
      <t>(c)</t>
    </r>
    <r>
      <rPr>
        <strike/>
        <sz val="7"/>
        <color theme="1"/>
        <rFont val="Times New Roman"/>
        <family val="1"/>
      </rPr>
      <t xml:space="preserve"> </t>
    </r>
    <r>
      <rPr>
        <strike/>
        <sz val="12"/>
        <color theme="1"/>
        <rFont val="Times New Roman"/>
        <family val="1"/>
      </rPr>
      <t>(</t>
    </r>
    <r>
      <rPr>
        <i/>
        <strike/>
        <sz val="12"/>
        <color theme="1"/>
        <rFont val="Times New Roman"/>
        <family val="1"/>
      </rPr>
      <t>2 points</t>
    </r>
    <r>
      <rPr>
        <strike/>
        <sz val="12"/>
        <color theme="1"/>
        <rFont val="Times New Roman"/>
        <family val="1"/>
      </rPr>
      <t xml:space="preserve">) </t>
    </r>
    <r>
      <rPr>
        <i/>
        <strike/>
        <sz val="12"/>
        <color theme="1"/>
        <rFont val="Times New Roman"/>
        <family val="1"/>
      </rPr>
      <t xml:space="preserve"> </t>
    </r>
    <r>
      <rPr>
        <strike/>
        <sz val="12"/>
        <color theme="1"/>
        <rFont val="Times New Roman"/>
        <family val="1"/>
      </rPr>
      <t>Calculate the amount of contractual service margin at issue for this group under IFRS 17.</t>
    </r>
  </si>
  <si>
    <t>QUESTION 1 (a) and (b)</t>
  </si>
  <si>
    <t>For a block of life contingent payout annuities with a 2 year term-certain period, you are given:</t>
  </si>
  <si>
    <r>
      <t>·</t>
    </r>
    <r>
      <rPr>
        <sz val="7"/>
        <color theme="1"/>
        <rFont val="Times New Roman"/>
        <family val="1"/>
      </rPr>
      <t xml:space="preserve">       </t>
    </r>
    <r>
      <rPr>
        <sz val="12"/>
        <color theme="1"/>
        <rFont val="Times New Roman"/>
        <family val="1"/>
      </rPr>
      <t>100 policies were issued in the same year.</t>
    </r>
  </si>
  <si>
    <r>
      <t>·</t>
    </r>
    <r>
      <rPr>
        <sz val="7"/>
        <color theme="1"/>
        <rFont val="Times New Roman"/>
        <family val="1"/>
      </rPr>
      <t xml:space="preserve">       </t>
    </r>
    <r>
      <rPr>
        <sz val="12"/>
        <color theme="1"/>
        <rFont val="Times New Roman"/>
        <family val="1"/>
      </rPr>
      <t>Each policy has an initial premium of 10,000 with a fixed annual annuity benefit of 2,000.</t>
    </r>
  </si>
  <si>
    <r>
      <t>·</t>
    </r>
    <r>
      <rPr>
        <sz val="7"/>
        <color theme="1"/>
        <rFont val="Times New Roman"/>
        <family val="1"/>
      </rPr>
      <t xml:space="preserve">       </t>
    </r>
    <r>
      <rPr>
        <sz val="12"/>
        <color theme="1"/>
        <rFont val="Times New Roman"/>
        <family val="1"/>
      </rPr>
      <t>Commission is 5% of premium and no other expenses.</t>
    </r>
  </si>
  <si>
    <r>
      <t>·</t>
    </r>
    <r>
      <rPr>
        <sz val="7"/>
        <color theme="1"/>
        <rFont val="Times New Roman"/>
        <family val="1"/>
      </rPr>
      <t xml:space="preserve">       </t>
    </r>
    <r>
      <rPr>
        <sz val="12"/>
        <color theme="1"/>
        <rFont val="Times New Roman"/>
        <family val="1"/>
      </rPr>
      <t>The locked-in discount rate is 4.5%.</t>
    </r>
  </si>
  <si>
    <r>
      <t>·</t>
    </r>
    <r>
      <rPr>
        <sz val="7"/>
        <color theme="1"/>
        <rFont val="Times New Roman"/>
        <family val="1"/>
      </rPr>
      <t xml:space="preserve">       </t>
    </r>
    <r>
      <rPr>
        <sz val="12"/>
        <color theme="1"/>
        <rFont val="Times New Roman"/>
        <family val="1"/>
      </rPr>
      <t>Policies in force is used as the DAC amortization basis.</t>
    </r>
  </si>
  <si>
    <r>
      <t>·</t>
    </r>
    <r>
      <rPr>
        <sz val="7"/>
        <color theme="1"/>
        <rFont val="Times New Roman"/>
        <family val="1"/>
      </rPr>
      <t xml:space="preserve">       </t>
    </r>
    <r>
      <rPr>
        <sz val="12"/>
        <color theme="1"/>
        <rFont val="Times New Roman"/>
        <family val="1"/>
      </rPr>
      <t>Annuity benefit payment is used as the deferred profit liability (DPL) amortization basis.</t>
    </r>
  </si>
  <si>
    <r>
      <t>·</t>
    </r>
    <r>
      <rPr>
        <sz val="7"/>
        <color theme="1"/>
        <rFont val="Times New Roman"/>
        <family val="1"/>
      </rPr>
      <t xml:space="preserve">       </t>
    </r>
    <r>
      <rPr>
        <sz val="12"/>
        <color theme="1"/>
        <rFont val="Times New Roman"/>
        <family val="1"/>
      </rPr>
      <t>Benefit payment occurs at the end of the year based on survivorship at the beginning of the year.</t>
    </r>
  </si>
  <si>
    <r>
      <t>(a)</t>
    </r>
    <r>
      <rPr>
        <sz val="7"/>
        <color theme="1"/>
        <rFont val="Times New Roman"/>
        <family val="1"/>
      </rPr>
      <t xml:space="preserve">            </t>
    </r>
    <r>
      <rPr>
        <sz val="12"/>
        <color theme="1"/>
        <rFont val="Times New Roman"/>
        <family val="1"/>
      </rPr>
      <t>(</t>
    </r>
    <r>
      <rPr>
        <i/>
        <sz val="12"/>
        <color theme="1"/>
        <rFont val="Times New Roman"/>
        <family val="1"/>
      </rPr>
      <t>6 points</t>
    </r>
    <r>
      <rPr>
        <sz val="12"/>
        <color theme="1"/>
        <rFont val="Times New Roman"/>
        <family val="1"/>
      </rPr>
      <t xml:space="preserve">)  You are given:  </t>
    </r>
  </si>
  <si>
    <t>Policy year</t>
  </si>
  <si>
    <t>Survivors (beginning of year, based on assumed mortality)</t>
  </si>
  <si>
    <t>Calculate the following at the end of Year 1, assuming the current discount rate is the same as the locked-in discount rate:</t>
  </si>
  <si>
    <r>
      <t>(i)</t>
    </r>
    <r>
      <rPr>
        <sz val="7"/>
        <color theme="1"/>
        <rFont val="Times New Roman"/>
        <family val="1"/>
      </rPr>
      <t xml:space="preserve">             </t>
    </r>
    <r>
      <rPr>
        <sz val="12"/>
        <color theme="1"/>
        <rFont val="Times New Roman"/>
        <family val="1"/>
      </rPr>
      <t>Benefit reserves</t>
    </r>
  </si>
  <si>
    <r>
      <t>(ii)</t>
    </r>
    <r>
      <rPr>
        <sz val="7"/>
        <color theme="1"/>
        <rFont val="Times New Roman"/>
        <family val="1"/>
      </rPr>
      <t xml:space="preserve">           </t>
    </r>
    <r>
      <rPr>
        <sz val="12"/>
        <color theme="1"/>
        <rFont val="Times New Roman"/>
        <family val="1"/>
      </rPr>
      <t>DAC</t>
    </r>
  </si>
  <si>
    <r>
      <t>(iii)</t>
    </r>
    <r>
      <rPr>
        <sz val="7"/>
        <color theme="1"/>
        <rFont val="Times New Roman"/>
        <family val="1"/>
      </rPr>
      <t xml:space="preserve">         </t>
    </r>
    <r>
      <rPr>
        <sz val="12"/>
        <color theme="1"/>
        <rFont val="Times New Roman"/>
        <family val="1"/>
      </rPr>
      <t>DPL</t>
    </r>
  </si>
  <si>
    <r>
      <t>(b)</t>
    </r>
    <r>
      <rPr>
        <sz val="7"/>
        <color theme="1"/>
        <rFont val="Times New Roman"/>
        <family val="1"/>
      </rPr>
      <t xml:space="preserve">           </t>
    </r>
    <r>
      <rPr>
        <sz val="12"/>
        <color theme="1"/>
        <rFont val="Times New Roman"/>
        <family val="1"/>
      </rPr>
      <t>(</t>
    </r>
    <r>
      <rPr>
        <i/>
        <sz val="12"/>
        <color theme="1"/>
        <rFont val="Times New Roman"/>
        <family val="1"/>
      </rPr>
      <t>2 points</t>
    </r>
    <r>
      <rPr>
        <sz val="12"/>
        <color theme="1"/>
        <rFont val="Times New Roman"/>
        <family val="1"/>
      </rPr>
      <t xml:space="preserve">)  Based on actual experience, a revised in-force projection, and market conditions, you are given:  </t>
    </r>
  </si>
  <si>
    <r>
      <t>·</t>
    </r>
    <r>
      <rPr>
        <sz val="7"/>
        <color theme="1"/>
        <rFont val="Times New Roman"/>
        <family val="1"/>
      </rPr>
      <t xml:space="preserve">       </t>
    </r>
    <r>
      <rPr>
        <sz val="12"/>
        <color theme="1"/>
        <rFont val="Times New Roman"/>
        <family val="1"/>
      </rPr>
      <t xml:space="preserve">The current discount rate is 6%.  </t>
    </r>
  </si>
  <si>
    <t>Survivors (beginning of year, based on actual and assumed mortality)</t>
  </si>
  <si>
    <r>
      <t>(i)</t>
    </r>
    <r>
      <rPr>
        <sz val="7"/>
        <color theme="1"/>
        <rFont val="Times New Roman"/>
        <family val="1"/>
      </rPr>
      <t xml:space="preserve">             </t>
    </r>
    <r>
      <rPr>
        <sz val="12"/>
        <color theme="1"/>
        <rFont val="Times New Roman"/>
        <family val="1"/>
      </rPr>
      <t xml:space="preserve">Calculate the DPL balance at the end of year 3.  </t>
    </r>
  </si>
  <si>
    <r>
      <t>(ii)</t>
    </r>
    <r>
      <rPr>
        <sz val="7"/>
        <color theme="1"/>
        <rFont val="Times New Roman"/>
        <family val="1"/>
      </rPr>
      <t xml:space="preserve">           </t>
    </r>
    <r>
      <rPr>
        <sz val="12"/>
        <color theme="1"/>
        <rFont val="Times New Roman"/>
        <family val="1"/>
      </rPr>
      <t xml:space="preserve">Calculate the Accumulated Other Comprehensive Income (AOCI) at the end of year 3.  </t>
    </r>
  </si>
  <si>
    <t>QUESTION 2 (a) i and (c) i, ii</t>
  </si>
  <si>
    <t>Responses for parts (a) ii, iii and (b) are to be provided in the Word document.</t>
  </si>
  <si>
    <t>Responses for part (a)i, (c)i, and (c)ii are to be provided in this tab.</t>
  </si>
  <si>
    <r>
      <t>(a)</t>
    </r>
    <r>
      <rPr>
        <sz val="7"/>
        <color theme="1"/>
        <rFont val="Times New Roman"/>
        <family val="1"/>
      </rPr>
      <t xml:space="preserve">            </t>
    </r>
    <r>
      <rPr>
        <sz val="12"/>
        <color theme="1"/>
        <rFont val="Times New Roman"/>
        <family val="1"/>
      </rPr>
      <t>(</t>
    </r>
    <r>
      <rPr>
        <i/>
        <sz val="12"/>
        <color theme="1"/>
        <rFont val="Times New Roman"/>
        <family val="1"/>
      </rPr>
      <t>4 points</t>
    </r>
    <r>
      <rPr>
        <sz val="12"/>
        <color theme="1"/>
        <rFont val="Times New Roman"/>
        <family val="1"/>
      </rPr>
      <t xml:space="preserve">)  CLT is planning to sell a new level premium whole life product while minimizing the first-year surplus strain on a US GAAP basis, and is considering the following marketing options:  </t>
    </r>
  </si>
  <si>
    <r>
      <t xml:space="preserve">Option 1: </t>
    </r>
    <r>
      <rPr>
        <sz val="12"/>
        <color theme="1"/>
        <rFont val="Times New Roman"/>
        <family val="1"/>
      </rPr>
      <t xml:space="preserve"> Hire a marketing agency to sell the policies and collect 100% commission on first year premium.  There is no additional cost.  </t>
    </r>
  </si>
  <si>
    <r>
      <t>Option 2:</t>
    </r>
    <r>
      <rPr>
        <sz val="12"/>
        <color theme="1"/>
        <rFont val="Times New Roman"/>
        <family val="1"/>
      </rPr>
      <t xml:space="preserve">  Use the internal sales team to sell the policies.  The annual fixed salary for the sales team is 1,200,000, and they will receive commission of 5% of premium every year the policy is inforce.  </t>
    </r>
  </si>
  <si>
    <r>
      <t>(i)</t>
    </r>
    <r>
      <rPr>
        <sz val="7"/>
        <color theme="1"/>
        <rFont val="Times New Roman"/>
        <family val="1"/>
      </rPr>
      <t xml:space="preserve">   </t>
    </r>
    <r>
      <rPr>
        <sz val="12"/>
        <color theme="1"/>
        <rFont val="Times New Roman"/>
        <family val="1"/>
      </rPr>
      <t xml:space="preserve">Calculate the first-year expenses associated with the sale of the policies for each option.  Assume total first year premium collected will be 5,000,000.  Show all work.  </t>
    </r>
  </si>
  <si>
    <r>
      <t>(c)</t>
    </r>
    <r>
      <rPr>
        <sz val="7"/>
        <color theme="1"/>
        <rFont val="Times New Roman"/>
        <family val="1"/>
      </rPr>
      <t>    </t>
    </r>
    <r>
      <rPr>
        <sz val="12"/>
        <color theme="1"/>
        <rFont val="Times New Roman"/>
        <family val="1"/>
      </rPr>
      <t>(</t>
    </r>
    <r>
      <rPr>
        <i/>
        <sz val="12"/>
        <color theme="1"/>
        <rFont val="Times New Roman"/>
        <family val="1"/>
      </rPr>
      <t>4 points</t>
    </r>
    <r>
      <rPr>
        <sz val="12"/>
        <color theme="1"/>
        <rFont val="Times New Roman"/>
        <family val="1"/>
      </rPr>
      <t>)  You are given the following information from the pricing model used to develop a whole life product:</t>
    </r>
  </si>
  <si>
    <t>Best estimate assumptions</t>
  </si>
  <si>
    <t>PV @3.5%</t>
  </si>
  <si>
    <t>PV @4%</t>
  </si>
  <si>
    <t>PV @5%</t>
  </si>
  <si>
    <t>Death benefits</t>
  </si>
  <si>
    <t>Surrender benefits</t>
  </si>
  <si>
    <t>Claim expense</t>
  </si>
  <si>
    <t>All other expenses</t>
  </si>
  <si>
    <t>Prudent estimate assumptions</t>
  </si>
  <si>
    <r>
      <t>·</t>
    </r>
    <r>
      <rPr>
        <sz val="7"/>
        <color theme="1"/>
        <rFont val="Times New Roman"/>
        <family val="1"/>
      </rPr>
      <t xml:space="preserve">       </t>
    </r>
    <r>
      <rPr>
        <sz val="12"/>
        <color theme="1"/>
        <rFont val="Times New Roman"/>
        <family val="1"/>
      </rPr>
      <t>The net asset earned rate is 5%</t>
    </r>
  </si>
  <si>
    <r>
      <t>·</t>
    </r>
    <r>
      <rPr>
        <sz val="7"/>
        <color theme="1"/>
        <rFont val="Times New Roman"/>
        <family val="1"/>
      </rPr>
      <t xml:space="preserve">       </t>
    </r>
    <r>
      <rPr>
        <sz val="12"/>
        <color theme="1"/>
        <rFont val="Times New Roman"/>
        <family val="1"/>
      </rPr>
      <t>The upper-medium quality fixed income yield is 4%</t>
    </r>
  </si>
  <si>
    <r>
      <t>·</t>
    </r>
    <r>
      <rPr>
        <sz val="7"/>
        <color theme="1"/>
        <rFont val="Times New Roman"/>
        <family val="1"/>
      </rPr>
      <t xml:space="preserve">       </t>
    </r>
    <r>
      <rPr>
        <sz val="12"/>
        <color theme="1"/>
        <rFont val="Times New Roman"/>
        <family val="1"/>
      </rPr>
      <t>The statutory valuation interest rate is 3.5%</t>
    </r>
  </si>
  <si>
    <t>Calculate the following at issue:</t>
  </si>
  <si>
    <r>
      <t>(i)</t>
    </r>
    <r>
      <rPr>
        <sz val="7"/>
        <color theme="1"/>
        <rFont val="Times New Roman"/>
        <family val="1"/>
      </rPr>
      <t xml:space="preserve">             </t>
    </r>
    <r>
      <rPr>
        <sz val="12"/>
        <color theme="1"/>
        <rFont val="Times New Roman"/>
        <family val="1"/>
      </rPr>
      <t xml:space="preserve">Net premium ratio used to calculate the US GAAP liability for future policy benefits </t>
    </r>
  </si>
  <si>
    <r>
      <t>(ii)</t>
    </r>
    <r>
      <rPr>
        <sz val="7"/>
        <color theme="1"/>
        <rFont val="Times New Roman"/>
        <family val="1"/>
      </rPr>
      <t xml:space="preserve">           </t>
    </r>
    <r>
      <rPr>
        <sz val="12"/>
        <color theme="1"/>
        <rFont val="Times New Roman"/>
        <family val="1"/>
      </rPr>
      <t>Deterministic reserves under VM-20</t>
    </r>
  </si>
  <si>
    <t xml:space="preserve">QUESTION 3 (b) </t>
  </si>
  <si>
    <r>
      <t>(b)   (</t>
    </r>
    <r>
      <rPr>
        <i/>
        <sz val="12"/>
        <color rgb="FF000000"/>
        <rFont val="Times New Roman"/>
        <family val="1"/>
      </rPr>
      <t>4</t>
    </r>
    <r>
      <rPr>
        <i/>
        <sz val="12"/>
        <color theme="1"/>
        <rFont val="Times New Roman"/>
        <family val="1"/>
      </rPr>
      <t xml:space="preserve"> points</t>
    </r>
    <r>
      <rPr>
        <sz val="12"/>
        <color theme="1"/>
        <rFont val="Times New Roman"/>
        <family val="1"/>
      </rPr>
      <t xml:space="preserve">)  Calculate the CARVM reserve at issue for a fixed rate deferred annuity with the following assumptions:  </t>
    </r>
  </si>
  <si>
    <t>Single premium</t>
  </si>
  <si>
    <t>Current credited interest rate (all years)</t>
  </si>
  <si>
    <t>Guaranteed credited interest rate (years 1-4)</t>
  </si>
  <si>
    <t>Guaranteed credited interest rate (years 5+)</t>
  </si>
  <si>
    <t>Surrender Charge:</t>
  </si>
  <si>
    <t>% of Account Value</t>
  </si>
  <si>
    <t xml:space="preserve">There are no deaths, partial withdrawals, or annuitizations.  </t>
  </si>
  <si>
    <t>QUESTION 4 (a) and (c)</t>
  </si>
  <si>
    <t>Responses for parts (a) and (c) are to be provided in this tab.</t>
  </si>
  <si>
    <t xml:space="preserve"> Company A is performing margin analysis on their 20-year term life product under VM-20. </t>
  </si>
  <si>
    <t>(a)  (2 points)</t>
  </si>
  <si>
    <t xml:space="preserve">Determine if the policy passes the Stochastic Exclusion Test given the following information.  Show all work.  </t>
  </si>
  <si>
    <t>Gross Premium Reserve</t>
  </si>
  <si>
    <t>01- Pop Up, High Equity</t>
  </si>
  <si>
    <t>02- Pop Up, Low Equity</t>
  </si>
  <si>
    <t>03- Pop Down, High Equity</t>
  </si>
  <si>
    <t>04- Pop Down, Low Equity</t>
  </si>
  <si>
    <t>05- Up/Down, High Equity</t>
  </si>
  <si>
    <t>06- Up/Down, Low Equity</t>
  </si>
  <si>
    <t>07- Down/Up, High Equity</t>
  </si>
  <si>
    <t>08- Down/Up, Low Equity</t>
  </si>
  <si>
    <t>09- Baseline Scenario</t>
  </si>
  <si>
    <t>10- Inverted Yield Curves</t>
  </si>
  <si>
    <t>11- Volatile Equity Returns</t>
  </si>
  <si>
    <t>12- Deterministic for Valuation</t>
  </si>
  <si>
    <t>13- Delayed Pop Up, High Equity</t>
  </si>
  <si>
    <t>14- Delayed Pop Up, Low Equity</t>
  </si>
  <si>
    <t>15- Delayed Pop Down, High Equity</t>
  </si>
  <si>
    <t>16- Delayed Pop Down, Low Equity</t>
  </si>
  <si>
    <t>PV(Benefits) for Scenario 09 = 2,500</t>
  </si>
  <si>
    <t>(c) (3 points)</t>
  </si>
  <si>
    <t xml:space="preserve">For an indexed universal life insurance contract, you were given the following information:  </t>
  </si>
  <si>
    <t>Indexed Fund</t>
  </si>
  <si>
    <t>Initial Premium</t>
  </si>
  <si>
    <t>Expense charge</t>
  </si>
  <si>
    <t>Minimum guaranteed interest rate</t>
  </si>
  <si>
    <t>Participation Rate</t>
  </si>
  <si>
    <t>Participation period</t>
  </si>
  <si>
    <t>1 year</t>
  </si>
  <si>
    <t>Call Option Terms</t>
  </si>
  <si>
    <t>Index</t>
  </si>
  <si>
    <t>S&amp;P 500</t>
  </si>
  <si>
    <t>Volatility</t>
  </si>
  <si>
    <t>Dividend rate</t>
  </si>
  <si>
    <t>Risk free rate</t>
  </si>
  <si>
    <t>Option cost (per contract)</t>
  </si>
  <si>
    <t>Number of option contracts</t>
  </si>
  <si>
    <t>Statutory valuation interest rate: 4%</t>
  </si>
  <si>
    <t xml:space="preserve">Determine the credited interest rate for the indexed universal life insurance contract by using the Implied Guaranteed Rate Method (IGRM).  Show all work.  </t>
  </si>
  <si>
    <t>QUESTION 5 (a) i and (b)</t>
  </si>
  <si>
    <t>Responses for parts (a) ii-vi are to be provided in the Word document.</t>
  </si>
  <si>
    <t>Responses for parts (a) i,  (b) i and ii are to be provided in this tab.</t>
  </si>
  <si>
    <t xml:space="preserve">AXE Life is a publicly traded insurance company that offers multiple life and annuity products.  </t>
  </si>
  <si>
    <t>Planned Margins</t>
  </si>
  <si>
    <t>Mortality Margin</t>
  </si>
  <si>
    <t>Surrender Margin</t>
  </si>
  <si>
    <t>Expense Margin</t>
  </si>
  <si>
    <t>Interest Margin</t>
  </si>
  <si>
    <t>AV released on Death</t>
  </si>
  <si>
    <t>AV released on Surrender</t>
  </si>
  <si>
    <t>COI Charges</t>
  </si>
  <si>
    <t>Expense charges</t>
  </si>
  <si>
    <t>Interest Credited</t>
  </si>
  <si>
    <t>Investment Income</t>
  </si>
  <si>
    <t>Maintenance Expenses</t>
  </si>
  <si>
    <t>Surrender Benefit</t>
  </si>
  <si>
    <t>US GAAP</t>
  </si>
  <si>
    <t>Total Liability</t>
  </si>
  <si>
    <t>Common Stock</t>
  </si>
  <si>
    <t>Additional Paid in Capital</t>
  </si>
  <si>
    <t>Common Stock held in Treasury</t>
  </si>
  <si>
    <t>Retained Earnings</t>
  </si>
  <si>
    <t>Shares outstanding (millions)</t>
  </si>
  <si>
    <t>US STAT</t>
  </si>
  <si>
    <t>Statutory Policy Reserves</t>
  </si>
  <si>
    <t>Interest Maintenance Reserve</t>
  </si>
  <si>
    <t>Target RBC</t>
  </si>
  <si>
    <t xml:space="preserve">All GAAP assets are admitted statutory assets.  </t>
  </si>
  <si>
    <t xml:space="preserve">You work for GUA Life Insurance Company and are looking to develop new whole life and universal life products.  Your manager has asked you to look at the potential tax implications to policyholders between using the Cash Value Accumulation Test (CVAT) and the Guideline Premium Test (GPT) under Internal Revenue Code (IRC) 7702  </t>
  </si>
  <si>
    <t>PV@ 3.75%</t>
  </si>
  <si>
    <t>PV@ 4.00%</t>
  </si>
  <si>
    <t>Present value of cost of insurance</t>
  </si>
  <si>
    <t>Present value of annual policy fees, per unit charges, and premium expense charges</t>
  </si>
  <si>
    <t>Present value of charges for the term rider on the primary insured’s spouse</t>
  </si>
  <si>
    <t>Present value of charges for the term rider on the business partner</t>
  </si>
  <si>
    <t xml:space="preserve">Calculate the CVAT Net Single Premium at issue for the policy.  Justify your answer.  </t>
  </si>
  <si>
    <t>Responses for parts (a)  and ( c ) are to be provided in the Word document.</t>
  </si>
  <si>
    <t>Capital and surplus</t>
  </si>
  <si>
    <t>Asset valuation reserve</t>
  </si>
  <si>
    <t>Interest maintenance reserve (undiscounted)</t>
  </si>
  <si>
    <t>Interest maintenance reserve (discounted)</t>
  </si>
  <si>
    <t>Book value of assets</t>
  </si>
  <si>
    <t>Market value of assets</t>
  </si>
  <si>
    <t>Value of inforce business</t>
  </si>
  <si>
    <t>Value of future business</t>
  </si>
  <si>
    <t>Intrinsic value of brand name</t>
  </si>
  <si>
    <t xml:space="preserve">Step 3: Take the maximum of the Present Value of Guaranteed CSV </t>
  </si>
  <si>
    <t>Present Value @ 4.5%</t>
  </si>
  <si>
    <t>Step 2 Discount the Cash Surrender Value using the 4.5% statutory interest rate back ot the valuation date that will be assumed to be the issue date</t>
  </si>
  <si>
    <r>
      <t>P</t>
    </r>
    <r>
      <rPr>
        <sz val="10"/>
        <rFont val="Arial"/>
        <family val="2"/>
      </rPr>
      <t>rojection Year</t>
    </r>
  </si>
  <si>
    <t>Step 1 Determine Cash Surrender Value using Guaranteed Credited Rates and Surrender Charge Penalty</t>
  </si>
  <si>
    <t>Statutory Interest Rate</t>
  </si>
  <si>
    <t>Eighth Year</t>
  </si>
  <si>
    <t>Seventh Year</t>
  </si>
  <si>
    <t>Sixth Year</t>
  </si>
  <si>
    <t>Fifth Year</t>
  </si>
  <si>
    <t>Fourth Year</t>
  </si>
  <si>
    <t>Third Year</t>
  </si>
  <si>
    <t>Second Year</t>
  </si>
  <si>
    <t>First year</t>
  </si>
  <si>
    <t xml:space="preserve">Surrender Penalty: </t>
  </si>
  <si>
    <t>Guranteed Credited interest rate (years 5+)</t>
  </si>
  <si>
    <t>Guranteed Credited interest rate (years 1-4)</t>
  </si>
  <si>
    <t>=&gt; not used</t>
  </si>
  <si>
    <t>Current Credited interest rate (all years)</t>
  </si>
  <si>
    <t>Solution for  3(b)</t>
  </si>
  <si>
    <t>Calculated: Initial Formula</t>
  </si>
  <si>
    <t>Interest Credited (0) under IGRM</t>
  </si>
  <si>
    <t>Calculated: Option Cost / Indexed Portion of Fund Value</t>
  </si>
  <si>
    <t>Option Cost (0) as %</t>
  </si>
  <si>
    <t>Calculated: Initial Premium * (1 - Expense Charge)</t>
  </si>
  <si>
    <t>Indexed Portion of Fund Value</t>
  </si>
  <si>
    <t>Calculated: Option Cost per contract * Number of Option Contracts</t>
  </si>
  <si>
    <t xml:space="preserve">Option Cost </t>
  </si>
  <si>
    <t xml:space="preserve">Statutory Valuation Interest Rate </t>
  </si>
  <si>
    <t>Interest Credited (0) Guaranteed</t>
  </si>
  <si>
    <t xml:space="preserve">Interest Credited (0) under IGRM = Interest Credited (0) Guaranteed + Option Cost (0) * ( 1 + Statutory Valuation Interest Rate) </t>
  </si>
  <si>
    <t xml:space="preserve">(c) For an indexed universal life insurance contract, you were given the following information:  </t>
  </si>
  <si>
    <t>Policy Passes Stochatic Exclusion Test</t>
  </si>
  <si>
    <t>Ratio &gt; 6.0%?</t>
  </si>
  <si>
    <t>Exclusion Ratio</t>
  </si>
  <si>
    <t>(b - a) / c</t>
  </si>
  <si>
    <t>Scenario 9 PV(Ben)</t>
  </si>
  <si>
    <t>c</t>
  </si>
  <si>
    <t>Calculated</t>
  </si>
  <si>
    <t>Maximum Excess</t>
  </si>
  <si>
    <t>b - a</t>
  </si>
  <si>
    <t>Max is Scenarios 03 &amp; 04</t>
  </si>
  <si>
    <t>Maximum Reserve Among the 16 Scenarios</t>
  </si>
  <si>
    <t>b</t>
  </si>
  <si>
    <t>Scenario 9 Baseline Reserve</t>
  </si>
  <si>
    <t>a</t>
  </si>
  <si>
    <t>Solution: From interactive principle based reserve model</t>
  </si>
  <si>
    <t xml:space="preserve">(a) Determine if the policy passes the Stochastic Exclusion Test given the following information.  Show all work.  </t>
  </si>
  <si>
    <t>= Free Surplus / Shares Outstanding</t>
  </si>
  <si>
    <t>Maximum Dividend Payable</t>
  </si>
  <si>
    <t>= Statutory Equity - Required Surplus</t>
  </si>
  <si>
    <t>Free Surplus</t>
  </si>
  <si>
    <t>= Total Assets - Statutory Liability</t>
  </si>
  <si>
    <t>Statutory Surplus</t>
  </si>
  <si>
    <t>= Statutory Policy Reserves + Interest Maintenance Reserve</t>
  </si>
  <si>
    <t>Statutory Liability</t>
  </si>
  <si>
    <t>= GAAP Equity + GAAP Liabilities</t>
  </si>
  <si>
    <t xml:space="preserve">(ii) Total Assets </t>
  </si>
  <si>
    <t>= Common Stock + Additional Paid in Capital + Common Stock Held in Treasury + AOCI + Retained Earnings</t>
  </si>
  <si>
    <t>(i) GAAP Equity</t>
  </si>
  <si>
    <t>Total Actual Profit</t>
  </si>
  <si>
    <t>= Investment Income - Interest Credited</t>
  </si>
  <si>
    <t>= Expense Charges - Maintenance Expenses</t>
  </si>
  <si>
    <t>= AV released on surrender - Surrender Benefit</t>
  </si>
  <si>
    <t>= AV Released on Death + COI Charges - Death Benefits</t>
  </si>
  <si>
    <t>Actual Margins</t>
  </si>
  <si>
    <t xml:space="preserve">(i)             Calculate the actual margins for this product.  Show all work.  </t>
  </si>
  <si>
    <t>Therefore, CVAT NSP = $260 + $98 = $358</t>
  </si>
  <si>
    <t>The interest rate is an annual effective interest rate of 4% or, if greater, the rate or rates guaranteed on issuance of the contract, thus the rate to use is 4.0%</t>
  </si>
  <si>
    <t>Additional justifications include:</t>
  </si>
  <si>
    <t>Justification credit was given if candidates wrote the summarized formula above or the explicit calculation formula.</t>
  </si>
  <si>
    <t>CVAT NSP = PV(Future Reasonable Charges for Primary Death Benefit) + PV(Future Reasonable Charges for QABs)</t>
  </si>
  <si>
    <t>Solution:</t>
  </si>
  <si>
    <t>Adjusted Book Value &gt;&gt;</t>
  </si>
  <si>
    <t>Mark-to-Market on assets allocated to ABV</t>
  </si>
  <si>
    <t>Surplus Notes +</t>
  </si>
  <si>
    <t>Non-admitted Assets +</t>
  </si>
  <si>
    <t>Deferred Tax Asset +</t>
  </si>
  <si>
    <t>Interest Maintenance Reserve (IMR) discounted +</t>
  </si>
  <si>
    <t>Asset Valuation Reserve (AVR) +</t>
  </si>
  <si>
    <t>ABV = Capital &amp; Surplus +</t>
  </si>
  <si>
    <r>
      <t>(a)</t>
    </r>
    <r>
      <rPr>
        <strike/>
        <sz val="7"/>
        <color theme="1"/>
        <rFont val="Times New Roman"/>
        <family val="1"/>
      </rPr>
      <t xml:space="preserve">  </t>
    </r>
    <r>
      <rPr>
        <strike/>
        <sz val="12"/>
        <color theme="1"/>
        <rFont val="Times New Roman"/>
        <family val="1"/>
      </rPr>
      <t>(</t>
    </r>
    <r>
      <rPr>
        <i/>
        <strike/>
        <sz val="12"/>
        <color theme="1"/>
        <rFont val="Times New Roman"/>
        <family val="1"/>
      </rPr>
      <t>6 points</t>
    </r>
    <r>
      <rPr>
        <strike/>
        <sz val="12"/>
        <color theme="1"/>
        <rFont val="Times New Roman"/>
        <family val="1"/>
      </rPr>
      <t xml:space="preserve">)  AXE is analyzing the experience of its ULSG block during the pandemic.  You are given:  </t>
    </r>
  </si>
  <si>
    <r>
      <t>·</t>
    </r>
    <r>
      <rPr>
        <strike/>
        <sz val="7"/>
        <color theme="1"/>
        <rFont val="Times New Roman"/>
        <family val="1"/>
      </rPr>
      <t xml:space="preserve">       </t>
    </r>
    <r>
      <rPr>
        <strike/>
        <sz val="12"/>
        <color theme="1"/>
        <rFont val="Times New Roman"/>
        <family val="1"/>
      </rPr>
      <t xml:space="preserve">The planned profit margin is 0.  </t>
    </r>
  </si>
  <si>
    <r>
      <t>·</t>
    </r>
    <r>
      <rPr>
        <strike/>
        <sz val="7"/>
        <color theme="1"/>
        <rFont val="Times New Roman"/>
        <family val="1"/>
      </rPr>
      <t xml:space="preserve">       </t>
    </r>
    <r>
      <rPr>
        <strike/>
        <sz val="12"/>
        <color theme="1"/>
        <rFont val="Times New Roman"/>
        <family val="1"/>
      </rPr>
      <t xml:space="preserve">All COIs are used to fund mortality.  </t>
    </r>
  </si>
  <si>
    <r>
      <t>·</t>
    </r>
    <r>
      <rPr>
        <strike/>
        <sz val="7"/>
        <color theme="1"/>
        <rFont val="Times New Roman"/>
        <family val="1"/>
      </rPr>
      <t xml:space="preserve">       </t>
    </r>
    <r>
      <rPr>
        <strike/>
        <sz val="12"/>
        <color theme="1"/>
        <rFont val="Times New Roman"/>
        <family val="1"/>
      </rPr>
      <t xml:space="preserve">All expense loads are used to fund expenses.  </t>
    </r>
  </si>
  <si>
    <r>
      <t>(i)</t>
    </r>
    <r>
      <rPr>
        <strike/>
        <sz val="7"/>
        <color theme="1"/>
        <rFont val="Times New Roman"/>
        <family val="1"/>
      </rPr>
      <t xml:space="preserve">             </t>
    </r>
    <r>
      <rPr>
        <strike/>
        <sz val="12"/>
        <color theme="1"/>
        <rFont val="Times New Roman"/>
        <family val="1"/>
      </rPr>
      <t xml:space="preserve">Calculate the actual margins for this product.  Show all work.  </t>
    </r>
  </si>
  <si>
    <r>
      <t>(b)</t>
    </r>
    <r>
      <rPr>
        <strike/>
        <sz val="7"/>
        <color theme="1"/>
        <rFont val="Times New Roman"/>
        <family val="1"/>
      </rPr>
      <t>  </t>
    </r>
    <r>
      <rPr>
        <strike/>
        <sz val="12"/>
        <color theme="1"/>
        <rFont val="Times New Roman"/>
        <family val="1"/>
      </rPr>
      <t>(</t>
    </r>
    <r>
      <rPr>
        <i/>
        <strike/>
        <sz val="12"/>
        <color theme="1"/>
        <rFont val="Times New Roman"/>
        <family val="1"/>
      </rPr>
      <t>3 points</t>
    </r>
    <r>
      <rPr>
        <strike/>
        <sz val="12"/>
        <color theme="1"/>
        <rFont val="Times New Roman"/>
        <family val="1"/>
      </rPr>
      <t xml:space="preserve">)  You are given the following balance sheet information:  </t>
    </r>
  </si>
  <si>
    <r>
      <t>(i)</t>
    </r>
    <r>
      <rPr>
        <strike/>
        <sz val="7"/>
        <color theme="1"/>
        <rFont val="Times New Roman"/>
        <family val="1"/>
      </rPr>
      <t xml:space="preserve">             </t>
    </r>
    <r>
      <rPr>
        <strike/>
        <sz val="12"/>
        <color theme="1"/>
        <rFont val="Times New Roman"/>
        <family val="1"/>
      </rPr>
      <t xml:space="preserve">Calculate the GAAP stockholder’s equity.  Show all work.  </t>
    </r>
  </si>
  <si>
    <r>
      <t>(ii)</t>
    </r>
    <r>
      <rPr>
        <strike/>
        <sz val="7"/>
        <color theme="1"/>
        <rFont val="Times New Roman"/>
        <family val="1"/>
      </rPr>
      <t xml:space="preserve">           </t>
    </r>
    <r>
      <rPr>
        <strike/>
        <sz val="12"/>
        <color theme="1"/>
        <rFont val="Times New Roman"/>
        <family val="1"/>
      </rPr>
      <t xml:space="preserve">Calculate the maximum dividend per share AXE Life could pay while meeting its RBC targets.  Show all work.  </t>
    </r>
  </si>
  <si>
    <r>
      <t>(a)</t>
    </r>
    <r>
      <rPr>
        <strike/>
        <sz val="7"/>
        <color theme="1"/>
        <rFont val="Times New Roman"/>
        <family val="1"/>
      </rPr>
      <t xml:space="preserve"> </t>
    </r>
    <r>
      <rPr>
        <strike/>
        <sz val="12"/>
        <color theme="1"/>
        <rFont val="Times New Roman"/>
        <family val="1"/>
      </rPr>
      <t>(</t>
    </r>
    <r>
      <rPr>
        <i/>
        <strike/>
        <sz val="12"/>
        <color theme="1"/>
        <rFont val="Times New Roman"/>
        <family val="1"/>
      </rPr>
      <t>4 points</t>
    </r>
    <r>
      <rPr>
        <strike/>
        <sz val="12"/>
        <color theme="1"/>
        <rFont val="Times New Roman"/>
        <family val="1"/>
      </rPr>
      <t xml:space="preserve">)  You are given the following information about a universal life policy issued to a policyholder aged 45:  </t>
    </r>
  </si>
  <si>
    <r>
      <t>·</t>
    </r>
    <r>
      <rPr>
        <strike/>
        <sz val="7"/>
        <color theme="1"/>
        <rFont val="Times New Roman"/>
        <family val="1"/>
      </rPr>
      <t xml:space="preserve">       </t>
    </r>
    <r>
      <rPr>
        <strike/>
        <sz val="12"/>
        <color theme="1"/>
        <rFont val="Times New Roman"/>
        <family val="1"/>
      </rPr>
      <t xml:space="preserve">The death benefit is level in all years.  </t>
    </r>
  </si>
  <si>
    <r>
      <t>·</t>
    </r>
    <r>
      <rPr>
        <strike/>
        <sz val="7"/>
        <color theme="1"/>
        <rFont val="Times New Roman"/>
        <family val="1"/>
      </rPr>
      <t xml:space="preserve">       </t>
    </r>
    <r>
      <rPr>
        <strike/>
        <sz val="12"/>
        <color theme="1"/>
        <rFont val="Times New Roman"/>
        <family val="1"/>
      </rPr>
      <t xml:space="preserve">The policy is subject to Internal Revenue Code section 7702 interest rates as determined by the Consolidated Appropriations Act of 2020.  </t>
    </r>
  </si>
  <si>
    <r>
      <t>·</t>
    </r>
    <r>
      <rPr>
        <strike/>
        <sz val="7"/>
        <color theme="1"/>
        <rFont val="Times New Roman"/>
        <family val="1"/>
      </rPr>
      <t xml:space="preserve">       </t>
    </r>
    <r>
      <rPr>
        <strike/>
        <sz val="12"/>
        <color theme="1"/>
        <rFont val="Times New Roman"/>
        <family val="1"/>
      </rPr>
      <t xml:space="preserve">The policy includes a minimum interest guaranteed rate of 4.0%.  </t>
    </r>
  </si>
  <si>
    <r>
      <t>·</t>
    </r>
    <r>
      <rPr>
        <strike/>
        <sz val="7"/>
        <color theme="1"/>
        <rFont val="Times New Roman"/>
        <family val="1"/>
      </rPr>
      <t xml:space="preserve">       </t>
    </r>
    <r>
      <rPr>
        <strike/>
        <sz val="12"/>
        <color theme="1"/>
        <rFont val="Times New Roman"/>
        <family val="1"/>
      </rPr>
      <t xml:space="preserve">The policy was issued during 2022 and the minimum nonforfeiture interest rate was 3.75% for a long duration contract.  </t>
    </r>
  </si>
  <si>
    <r>
      <t>·</t>
    </r>
    <r>
      <rPr>
        <strike/>
        <sz val="7"/>
        <color theme="1"/>
        <rFont val="Times New Roman"/>
        <family val="1"/>
      </rPr>
      <t xml:space="preserve">       </t>
    </r>
    <r>
      <rPr>
        <strike/>
        <sz val="12"/>
        <color theme="1"/>
        <rFont val="Times New Roman"/>
        <family val="1"/>
      </rPr>
      <t xml:space="preserve">The policy includes charges for cost of insurance, annual policy fees, per unit charges, and percent of premium expense charge in all policy years.  </t>
    </r>
  </si>
  <si>
    <r>
      <t>·</t>
    </r>
    <r>
      <rPr>
        <strike/>
        <sz val="7"/>
        <color theme="1"/>
        <rFont val="Times New Roman"/>
        <family val="1"/>
      </rPr>
      <t xml:space="preserve">       </t>
    </r>
    <r>
      <rPr>
        <strike/>
        <sz val="12"/>
        <color theme="1"/>
        <rFont val="Times New Roman"/>
        <family val="1"/>
      </rPr>
      <t xml:space="preserve">The policy has two riders: a term life insurance benefit on the primary insured’s spouse, and a term life insurance benefit on a business partner who is not related to the policyholder.  </t>
    </r>
  </si>
  <si>
    <r>
      <t>·</t>
    </r>
    <r>
      <rPr>
        <strike/>
        <sz val="7"/>
        <color theme="1"/>
        <rFont val="Times New Roman"/>
        <family val="1"/>
      </rPr>
      <t xml:space="preserve">       </t>
    </r>
    <r>
      <rPr>
        <strike/>
        <sz val="12"/>
        <color theme="1"/>
        <rFont val="Times New Roman"/>
        <family val="1"/>
      </rPr>
      <t xml:space="preserve">You are given the values about the policy:  </t>
    </r>
  </si>
  <si>
    <r>
      <t>·</t>
    </r>
    <r>
      <rPr>
        <strike/>
        <sz val="7"/>
        <color theme="1"/>
        <rFont val="Times New Roman"/>
        <family val="1"/>
      </rPr>
      <t xml:space="preserve">       </t>
    </r>
    <r>
      <rPr>
        <strike/>
        <sz val="12"/>
        <color theme="1"/>
        <rFont val="Times New Roman"/>
        <family val="1"/>
      </rPr>
      <t>Cost of insurance is not included in the calculation</t>
    </r>
  </si>
  <si>
    <r>
      <t>·</t>
    </r>
    <r>
      <rPr>
        <strike/>
        <sz val="7"/>
        <color theme="1"/>
        <rFont val="Times New Roman"/>
        <family val="1"/>
      </rPr>
      <t xml:space="preserve">       </t>
    </r>
    <r>
      <rPr>
        <strike/>
        <sz val="12"/>
        <color theme="1"/>
        <rFont val="Times New Roman"/>
        <family val="1"/>
      </rPr>
      <t>Annual policy fees, per unit charges, and premium expense charges are not included in the calculation</t>
    </r>
  </si>
  <si>
    <r>
      <t>·</t>
    </r>
    <r>
      <rPr>
        <strike/>
        <sz val="7"/>
        <color theme="1"/>
        <rFont val="Times New Roman"/>
        <family val="1"/>
      </rPr>
      <t xml:space="preserve">       </t>
    </r>
    <r>
      <rPr>
        <strike/>
        <sz val="12"/>
        <color theme="1"/>
        <rFont val="Times New Roman"/>
        <family val="1"/>
      </rPr>
      <t>Only PVs for death benefits and QABs are part of the CVAT</t>
    </r>
  </si>
  <si>
    <r>
      <t>·</t>
    </r>
    <r>
      <rPr>
        <strike/>
        <sz val="7"/>
        <color theme="1"/>
        <rFont val="Times New Roman"/>
        <family val="1"/>
      </rPr>
      <t xml:space="preserve">       </t>
    </r>
    <r>
      <rPr>
        <strike/>
        <sz val="12"/>
        <color theme="1"/>
        <rFont val="Times New Roman"/>
        <family val="1"/>
      </rPr>
      <t>Endowment values are also included in CVAT, but do not affect this product</t>
    </r>
  </si>
  <si>
    <r>
      <t>·</t>
    </r>
    <r>
      <rPr>
        <strike/>
        <sz val="7"/>
        <color theme="1"/>
        <rFont val="Times New Roman"/>
        <family val="1"/>
      </rPr>
      <t xml:space="preserve">       </t>
    </r>
    <r>
      <rPr>
        <strike/>
        <sz val="12"/>
        <color theme="1"/>
        <rFont val="Times New Roman"/>
        <family val="1"/>
      </rPr>
      <t>Rider for primary insured is included as a QAB, because family term coverage is explicitly listed as a qualified additional benefit</t>
    </r>
  </si>
  <si>
    <r>
      <t>·</t>
    </r>
    <r>
      <rPr>
        <strike/>
        <sz val="7"/>
        <color theme="1"/>
        <rFont val="Times New Roman"/>
        <family val="1"/>
      </rPr>
      <t xml:space="preserve">       </t>
    </r>
    <r>
      <rPr>
        <strike/>
        <sz val="12"/>
        <color theme="1"/>
        <rFont val="Times New Roman"/>
        <family val="1"/>
      </rPr>
      <t>Rider for business partner is not an included QAB</t>
    </r>
  </si>
  <si>
    <r>
      <t>(b)</t>
    </r>
    <r>
      <rPr>
        <strike/>
        <sz val="7"/>
        <color theme="1"/>
        <rFont val="Times New Roman"/>
        <family val="1"/>
      </rPr>
      <t xml:space="preserve">  </t>
    </r>
    <r>
      <rPr>
        <strike/>
        <sz val="12"/>
        <color theme="1"/>
        <rFont val="Times New Roman"/>
        <family val="1"/>
      </rPr>
      <t>(</t>
    </r>
    <r>
      <rPr>
        <i/>
        <strike/>
        <sz val="12"/>
        <color rgb="FF000000"/>
        <rFont val="Times New Roman"/>
        <family val="1"/>
      </rPr>
      <t>3</t>
    </r>
    <r>
      <rPr>
        <i/>
        <strike/>
        <sz val="12"/>
        <color theme="1"/>
        <rFont val="Times New Roman"/>
        <family val="1"/>
      </rPr>
      <t xml:space="preserve"> points</t>
    </r>
    <r>
      <rPr>
        <strike/>
        <sz val="12"/>
        <color theme="1"/>
        <rFont val="Times New Roman"/>
        <family val="1"/>
      </rPr>
      <t xml:space="preserve">)  ABC Life is acquiring XYZ Life.  XYZ has the following financial information:  </t>
    </r>
  </si>
  <si>
    <r>
      <t>(i)</t>
    </r>
    <r>
      <rPr>
        <strike/>
        <sz val="7"/>
        <color theme="1"/>
        <rFont val="Times New Roman"/>
        <family val="1"/>
      </rPr>
      <t xml:space="preserve">             </t>
    </r>
    <r>
      <rPr>
        <strike/>
        <sz val="12"/>
        <color theme="1"/>
        <rFont val="Times New Roman"/>
        <family val="1"/>
      </rPr>
      <t>Adjusted Book Value</t>
    </r>
  </si>
  <si>
    <r>
      <t>(ii)</t>
    </r>
    <r>
      <rPr>
        <strike/>
        <sz val="7"/>
        <color theme="1"/>
        <rFont val="Times New Roman"/>
        <family val="1"/>
      </rPr>
      <t xml:space="preserve">           </t>
    </r>
    <r>
      <rPr>
        <strike/>
        <sz val="12"/>
        <color theme="1"/>
        <rFont val="Times New Roman"/>
        <family val="1"/>
      </rPr>
      <t>Embedded Value</t>
    </r>
  </si>
  <si>
    <r>
      <t>(iii)</t>
    </r>
    <r>
      <rPr>
        <strike/>
        <sz val="7"/>
        <color theme="1"/>
        <rFont val="Times New Roman"/>
        <family val="1"/>
      </rPr>
      <t xml:space="preserve">         </t>
    </r>
    <r>
      <rPr>
        <strike/>
        <sz val="12"/>
        <color theme="1"/>
        <rFont val="Times New Roman"/>
        <family val="1"/>
      </rPr>
      <t>Actuarial Appraisal Value</t>
    </r>
  </si>
  <si>
    <r>
      <t>(iv)</t>
    </r>
    <r>
      <rPr>
        <strike/>
        <sz val="7"/>
        <color theme="1"/>
        <rFont val="Times New Roman"/>
        <family val="1"/>
      </rPr>
      <t xml:space="preserve">          </t>
    </r>
    <r>
      <rPr>
        <strike/>
        <sz val="12"/>
        <color theme="1"/>
        <rFont val="Times New Roman"/>
        <family val="1"/>
      </rPr>
      <t>Total Company Value</t>
    </r>
  </si>
  <si>
    <r>
      <rPr>
        <b/>
        <strike/>
        <sz val="12"/>
        <color theme="1"/>
        <rFont val="Times New Roman"/>
        <family val="1"/>
      </rPr>
      <t xml:space="preserve">Embedded Value </t>
    </r>
    <r>
      <rPr>
        <strike/>
        <sz val="12"/>
        <color theme="1"/>
        <rFont val="Times New Roman"/>
        <family val="1"/>
      </rPr>
      <t>= Adjusted Book Value + Value of Inforce Business</t>
    </r>
  </si>
  <si>
    <r>
      <rPr>
        <b/>
        <strike/>
        <sz val="12"/>
        <color theme="1"/>
        <rFont val="Times New Roman"/>
        <family val="1"/>
      </rPr>
      <t xml:space="preserve">Actuarial Appraisal Value = </t>
    </r>
    <r>
      <rPr>
        <strike/>
        <sz val="12"/>
        <color theme="1"/>
        <rFont val="Times New Roman"/>
        <family val="1"/>
      </rPr>
      <t>Embedded Value + Value of Future New Business</t>
    </r>
  </si>
  <si>
    <r>
      <t>Total Company Value =</t>
    </r>
    <r>
      <rPr>
        <strike/>
        <sz val="12"/>
        <color theme="1"/>
        <rFont val="Times New Roman"/>
        <family val="1"/>
      </rPr>
      <t xml:space="preserve"> Actuarial Appraisal Value + Intrinsic Value of Brand Name</t>
    </r>
  </si>
  <si>
    <t>Solutions</t>
  </si>
  <si>
    <t>Information on these tabs are no longer relevant.</t>
  </si>
  <si>
    <t>Sheet colors key</t>
  </si>
  <si>
    <t>CURATED PAST EXAM EXCEL FILES</t>
  </si>
  <si>
    <t>o</t>
  </si>
  <si>
    <t xml:space="preserve">These curated past exam items are intended to allow candidates to focus on past SOA fellowship assessments. These items are organized by topic and learning objective with relevant learning outcomes, source materials, and candidate commentary identified. We have included items that are relevant in the new course structure, and where feasible we have made updates to questions to make them relevant. </t>
  </si>
  <si>
    <t>This file contains the Excel components of the curated past exam questions and solution as applicable.  Candidates should start with the PDF files associated with this course's curated past exams.</t>
  </si>
  <si>
    <t>Candidate solutions other than those presented in this material, if appropriate for the context, could receive full marks. For interpretation items, solutions presented in these documents are not necessarily the only valid solutions.</t>
  </si>
  <si>
    <t>Learning Outcome Statements and supporting syllabus materials may have changed since each exam was administered. New assessment items are developed from the current Learning Outcome Statements and syllabus materials. The inclusion in these curated past exam questions of material that is no longer current does not bring such material into scope for current assessments.</t>
  </si>
  <si>
    <t>Thus, while we have made our best effort and conducted multiple reviews, alignment with the current system or choice of classification may not be perfect. Candidates with questions or ideas for improvement may reach out to education@soa.org.  We expect to make updates annually.</t>
  </si>
  <si>
    <t>Version 2025-1</t>
  </si>
  <si>
    <t>Updated: July 8, 2025</t>
  </si>
  <si>
    <t xml:space="preserve">Copyright © Society of Actuaries </t>
  </si>
  <si>
    <t>ILA 201-U - Valuation and Advanced Product and Risk Management,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</si>
</sst>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0_);[Red]\(&quot;$&quot;#,##0\)"/>
    <numFmt numFmtId="8" formatCode="&quot;$&quot;#,##0.00_);[Red]\(&quot;$&quot;#,##0.00\)"/>
    <numFmt numFmtId="44" formatCode="_(&quot;$&quot;* #,##0.00_);_(&quot;$&quot;* \(#,##0.00\);_(&quot;$&quot;* &quot;-&quot;??_);_(@_)"/>
    <numFmt numFmtId="43" formatCode="_(* #,##0.00_);_(* \(#,##0.00\);_(* &quot;-&quot;??_);_(@_)"/>
    <numFmt numFmtId="164" formatCode="_-* #,##0.00_-;\-* #,##0.00_-;_-* &quot;-&quot;??_-;_-@_-"/>
    <numFmt numFmtId="165" formatCode="0.0%"/>
    <numFmt numFmtId="166" formatCode="#,##0.000"/>
    <numFmt numFmtId="167" formatCode="_(* #,##0_);_(* \(#,##0\);_(* &quot;-&quot;??_);_(@_)"/>
    <numFmt numFmtId="168" formatCode="0.000%"/>
    <numFmt numFmtId="169" formatCode="0.0000"/>
    <numFmt numFmtId="170" formatCode="0.000"/>
    <numFmt numFmtId="171" formatCode="&quot; &quot;* #,##0.00&quot; &quot;;&quot; &quot;* &quot;(&quot;#,##0.00&quot;)&quot;;&quot; &quot;* &quot;-&quot;#&quot; &quot;;&quot; &quot;@&quot; &quot;"/>
    <numFmt numFmtId="172" formatCode="&quot; &quot;* #,##0&quot; &quot;;&quot; &quot;* &quot;(&quot;#,##0&quot;)&quot;;&quot; &quot;* &quot;-&quot;#&quot; &quot;;&quot; &quot;@&quot; &quot;"/>
    <numFmt numFmtId="173" formatCode="&quot; &quot;* #,##0.0&quot; &quot;;&quot; &quot;* &quot;(&quot;#,##0.0&quot;)&quot;;&quot; &quot;* &quot;-&quot;#&quot; &quot;;&quot; &quot;@&quot; &quot;"/>
    <numFmt numFmtId="174" formatCode="_(* #,##0.0_);_(* \(#,##0.0\);_(* &quot;-&quot;?_);_(@_)"/>
    <numFmt numFmtId="175" formatCode="0.00000"/>
    <numFmt numFmtId="176" formatCode="#,##0.0"/>
    <numFmt numFmtId="177" formatCode="_-&quot;$&quot;* #,##0.00_-;\-&quot;$&quot;* #,##0.00_-;_-&quot;$&quot;* &quot;-&quot;??_-;_-@_-"/>
    <numFmt numFmtId="178" formatCode="_(&quot;$&quot;* #,##0_);_(&quot;$&quot;* \(#,##0\);_(&quot;$&quot;* &quot;-&quot;??_);_(@_)"/>
    <numFmt numFmtId="179" formatCode="_(* #,##0.0000_);_(* \(#,##0.0000\);_(* &quot;-&quot;??_);_(@_)"/>
    <numFmt numFmtId="180" formatCode="_(&quot;$&quot;* #,##0.0_);_(&quot;$&quot;* \(#,##0.0\);_(&quot;$&quot;* &quot;-&quot;??_);_(@_)"/>
    <numFmt numFmtId="181" formatCode="_(* #,##0.0_);_(* \(#,##0.0\);_(* &quot;-&quot;??_);_(@_)"/>
    <numFmt numFmtId="182" formatCode="#,##0.00000000"/>
    <numFmt numFmtId="183" formatCode="#,##0.00000_);\(#,##0.00000\)"/>
    <numFmt numFmtId="184" formatCode="#,##0.000_);\(#,##0.000\)"/>
    <numFmt numFmtId="185" formatCode="#,##0.0000"/>
    <numFmt numFmtId="186" formatCode="0.0000%"/>
    <numFmt numFmtId="187" formatCode="_(* #,##0.000_);_(* \(#,##0.000\);_(* &quot;-&quot;??_);_(@_)"/>
  </numFmts>
  <fonts count="15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Times New Roman"/>
      <family val="1"/>
    </font>
    <font>
      <sz val="10"/>
      <name val="Times New Roman"/>
      <family val="1"/>
    </font>
    <font>
      <sz val="10"/>
      <name val="Arial"/>
      <family val="2"/>
    </font>
    <font>
      <sz val="10"/>
      <name val="Arial"/>
      <family val="2"/>
    </font>
    <font>
      <sz val="10"/>
      <name val="Arial"/>
      <family val="2"/>
    </font>
    <font>
      <i/>
      <sz val="12"/>
      <color theme="1"/>
      <name val="Times New Roman"/>
      <family val="1"/>
    </font>
    <font>
      <sz val="11"/>
      <color theme="1"/>
      <name val="Times New Roman"/>
      <family val="1"/>
    </font>
    <font>
      <sz val="12"/>
      <color theme="1"/>
      <name val="Times New Roman"/>
      <family val="1"/>
    </font>
    <font>
      <sz val="11"/>
      <color indexed="8"/>
      <name val="Calibri"/>
      <family val="2"/>
      <scheme val="minor"/>
    </font>
    <font>
      <i/>
      <sz val="11"/>
      <color theme="1"/>
      <name val="Calibri"/>
      <family val="2"/>
      <scheme val="minor"/>
    </font>
    <font>
      <sz val="10"/>
      <color theme="1"/>
      <name val="Trebuchet"/>
      <family val="2"/>
    </font>
    <font>
      <b/>
      <sz val="10"/>
      <name val="Arial"/>
      <family val="2"/>
    </font>
    <font>
      <i/>
      <sz val="12"/>
      <color theme="1"/>
      <name val="Calibri"/>
      <family val="2"/>
      <scheme val="minor"/>
    </font>
    <font>
      <b/>
      <sz val="14"/>
      <color rgb="FF002060"/>
      <name val="Times New Roman"/>
      <family val="1"/>
    </font>
    <font>
      <b/>
      <sz val="12"/>
      <color rgb="FF002060"/>
      <name val="Times New Roman"/>
      <family val="1"/>
    </font>
    <font>
      <i/>
      <sz val="12"/>
      <color rgb="FF002060"/>
      <name val="Times New Roman"/>
      <family val="1"/>
    </font>
    <font>
      <sz val="12"/>
      <color rgb="FF002060"/>
      <name val="Times New Roman"/>
      <family val="1"/>
    </font>
    <font>
      <sz val="7"/>
      <color rgb="FF002060"/>
      <name val="Times New Roman"/>
      <family val="1"/>
    </font>
    <font>
      <sz val="11"/>
      <color rgb="FF002060"/>
      <name val="Calibri"/>
      <family val="2"/>
      <scheme val="minor"/>
    </font>
    <font>
      <sz val="12"/>
      <color theme="1"/>
      <name val="Calibri"/>
      <family val="2"/>
      <scheme val="minor"/>
    </font>
    <font>
      <sz val="12"/>
      <color rgb="FF002060"/>
      <name val="Symbol"/>
      <family val="1"/>
      <charset val="2"/>
    </font>
    <font>
      <b/>
      <strike/>
      <sz val="14"/>
      <color rgb="FF002060"/>
      <name val="Times New Roman"/>
      <family val="1"/>
    </font>
    <font>
      <strike/>
      <sz val="11"/>
      <color theme="1"/>
      <name val="Calibri"/>
      <family val="2"/>
      <scheme val="minor"/>
    </font>
    <font>
      <b/>
      <strike/>
      <sz val="12"/>
      <color rgb="FF002060"/>
      <name val="Times New Roman"/>
      <family val="1"/>
    </font>
    <font>
      <strike/>
      <sz val="12"/>
      <color rgb="FF002060"/>
      <name val="Times New Roman"/>
      <family val="1"/>
    </font>
    <font>
      <strike/>
      <sz val="11"/>
      <color rgb="FF002060"/>
      <name val="Calibri"/>
      <family val="2"/>
      <scheme val="minor"/>
    </font>
    <font>
      <strike/>
      <sz val="7"/>
      <color rgb="FF002060"/>
      <name val="Times New Roman"/>
      <family val="1"/>
    </font>
    <font>
      <i/>
      <strike/>
      <sz val="12"/>
      <color rgb="FF002060"/>
      <name val="Times New Roman"/>
      <family val="1"/>
    </font>
    <font>
      <strike/>
      <sz val="12"/>
      <color rgb="FF002060"/>
      <name val="Symbol"/>
      <family val="1"/>
      <charset val="2"/>
    </font>
    <font>
      <sz val="12"/>
      <color rgb="FF000000"/>
      <name val="Times New Roman"/>
      <family val="1"/>
    </font>
    <font>
      <b/>
      <sz val="12"/>
      <color rgb="FF000000"/>
      <name val="Times New Roman"/>
      <family val="1"/>
    </font>
    <font>
      <sz val="8"/>
      <color theme="1"/>
      <name val="Times New Roman"/>
      <family val="1"/>
    </font>
    <font>
      <sz val="12"/>
      <name val="Times New Roman"/>
      <family val="1"/>
    </font>
    <font>
      <sz val="7"/>
      <color theme="1"/>
      <name val="Times New Roman"/>
      <family val="1"/>
    </font>
    <font>
      <b/>
      <sz val="12"/>
      <name val="Times New Roman"/>
      <family val="1"/>
    </font>
    <font>
      <b/>
      <sz val="12"/>
      <color theme="1"/>
      <name val="Times New Roman"/>
      <family val="1"/>
    </font>
    <font>
      <sz val="12"/>
      <color theme="1"/>
      <name val="Symbol"/>
      <family val="1"/>
      <charset val="2"/>
    </font>
    <font>
      <sz val="11"/>
      <color rgb="FF000000"/>
      <name val="Times New Roman"/>
      <family val="1"/>
    </font>
    <font>
      <sz val="12"/>
      <color rgb="FFFFFFFF"/>
      <name val="Times New Roman"/>
      <family val="1"/>
    </font>
    <font>
      <sz val="12"/>
      <color theme="1"/>
      <name val="Cambria Math"/>
      <family val="1"/>
    </font>
    <font>
      <sz val="10"/>
      <color theme="1"/>
      <name val="Calibri"/>
      <family val="2"/>
      <scheme val="minor"/>
    </font>
    <font>
      <sz val="11"/>
      <color theme="1"/>
      <name val="SwissReSans"/>
      <family val="2"/>
    </font>
    <font>
      <b/>
      <sz val="12"/>
      <color rgb="FF000000"/>
      <name val="Calibri"/>
      <family val="2"/>
    </font>
    <font>
      <sz val="12"/>
      <color rgb="FF000000"/>
      <name val="Calibri"/>
      <family val="2"/>
    </font>
    <font>
      <sz val="10"/>
      <color theme="1"/>
      <name val="Times New Roman"/>
      <family val="1"/>
    </font>
    <font>
      <b/>
      <vertAlign val="superscript"/>
      <sz val="12"/>
      <color theme="1"/>
      <name val="Times New Roman"/>
      <family val="1"/>
    </font>
    <font>
      <i/>
      <strike/>
      <sz val="11"/>
      <color theme="1"/>
      <name val="Calibri"/>
      <family val="2"/>
      <scheme val="minor"/>
    </font>
    <font>
      <strike/>
      <sz val="12"/>
      <color theme="1"/>
      <name val="Times New Roman"/>
      <family val="1"/>
    </font>
    <font>
      <strike/>
      <sz val="7"/>
      <color theme="1"/>
      <name val="Times New Roman"/>
      <family val="1"/>
    </font>
    <font>
      <i/>
      <strike/>
      <sz val="12"/>
      <color theme="1"/>
      <name val="Times New Roman"/>
      <family val="1"/>
    </font>
    <font>
      <b/>
      <strike/>
      <sz val="11"/>
      <color theme="1"/>
      <name val="Calibri"/>
      <family val="2"/>
      <scheme val="minor"/>
    </font>
    <font>
      <strike/>
      <sz val="10"/>
      <name val="Arial Narrow"/>
      <family val="2"/>
    </font>
    <font>
      <strike/>
      <sz val="10"/>
      <name val="Times New Roman"/>
      <family val="1"/>
    </font>
    <font>
      <b/>
      <strike/>
      <sz val="12"/>
      <color rgb="FF000000"/>
      <name val="Times New Roman"/>
      <family val="1"/>
    </font>
    <font>
      <strike/>
      <sz val="10"/>
      <color rgb="FF0000FF"/>
      <name val="Arial Narrow"/>
      <family val="2"/>
    </font>
    <font>
      <strike/>
      <sz val="10"/>
      <color rgb="FFFF0000"/>
      <name val="Arial Narrow"/>
      <family val="2"/>
    </font>
    <font>
      <i/>
      <strike/>
      <sz val="10"/>
      <color theme="4"/>
      <name val="Arial Narrow"/>
      <family val="2"/>
    </font>
    <font>
      <b/>
      <strike/>
      <sz val="12"/>
      <color theme="1"/>
      <name val="Times New Roman"/>
      <family val="1"/>
    </font>
    <font>
      <strike/>
      <sz val="12"/>
      <color theme="1"/>
      <name val="Symbol"/>
      <family val="1"/>
      <charset val="2"/>
    </font>
    <font>
      <b/>
      <strike/>
      <sz val="10"/>
      <name val="Arial"/>
      <family val="2"/>
    </font>
    <font>
      <strike/>
      <sz val="10"/>
      <name val="Arial"/>
      <family val="2"/>
    </font>
    <font>
      <strike/>
      <sz val="12"/>
      <color rgb="FF000000"/>
      <name val="Times New Roman"/>
      <family val="1"/>
    </font>
    <font>
      <strike/>
      <sz val="8"/>
      <color theme="1"/>
      <name val="Times New Roman"/>
      <family val="1"/>
    </font>
    <font>
      <sz val="10"/>
      <color theme="1"/>
      <name val="Arial"/>
      <family val="2"/>
    </font>
    <font>
      <vertAlign val="superscript"/>
      <sz val="12"/>
      <color theme="1"/>
      <name val="Times New Roman"/>
      <family val="1"/>
    </font>
    <font>
      <i/>
      <sz val="12"/>
      <color rgb="FF000000"/>
      <name val="Times New Roman"/>
      <family val="1"/>
    </font>
    <font>
      <b/>
      <sz val="9"/>
      <color theme="1"/>
      <name val="Times New Roman"/>
      <family val="1"/>
    </font>
    <font>
      <sz val="9"/>
      <color theme="1"/>
      <name val="Times New Roman"/>
      <family val="1"/>
    </font>
    <font>
      <sz val="7"/>
      <color rgb="FF000000"/>
      <name val="Times New Roman"/>
      <family val="1"/>
    </font>
    <font>
      <sz val="12"/>
      <color rgb="FFFF0000"/>
      <name val="Times New Roman"/>
      <family val="1"/>
    </font>
    <font>
      <sz val="10"/>
      <color rgb="FF000000"/>
      <name val="Arial"/>
      <family val="2"/>
    </font>
    <font>
      <b/>
      <sz val="16"/>
      <color rgb="FF000000"/>
      <name val="Arial"/>
      <family val="2"/>
    </font>
    <font>
      <sz val="11"/>
      <color rgb="FF000000"/>
      <name val="Aptos Narrow"/>
      <family val="2"/>
    </font>
    <font>
      <b/>
      <sz val="10"/>
      <color rgb="FF000000"/>
      <name val="Arial"/>
      <family val="2"/>
    </font>
    <font>
      <sz val="10"/>
      <color rgb="FF000000"/>
      <name val="Times New Roman"/>
      <family val="1"/>
    </font>
    <font>
      <u/>
      <sz val="10"/>
      <color rgb="FF000000"/>
      <name val="Arial"/>
      <family val="2"/>
    </font>
    <font>
      <b/>
      <sz val="11"/>
      <color theme="1"/>
      <name val="Calibri"/>
      <family val="2"/>
      <scheme val="minor"/>
    </font>
    <font>
      <strike/>
      <sz val="11"/>
      <color theme="1"/>
      <name val="Times New Roman"/>
      <family val="1"/>
    </font>
    <font>
      <i/>
      <strike/>
      <sz val="11"/>
      <color theme="1"/>
      <name val="Times New Roman"/>
      <family val="1"/>
    </font>
    <font>
      <sz val="11"/>
      <color rgb="FFFF0000"/>
      <name val="Calibri"/>
      <family val="2"/>
      <scheme val="minor"/>
    </font>
    <font>
      <strike/>
      <sz val="7"/>
      <color rgb="FF000000"/>
      <name val="Times New Roman"/>
      <family val="1"/>
    </font>
    <font>
      <i/>
      <strike/>
      <sz val="12"/>
      <color rgb="FF000000"/>
      <name val="Times New Roman"/>
      <family val="1"/>
    </font>
    <font>
      <strike/>
      <sz val="12"/>
      <color rgb="FFFF0000"/>
      <name val="Times New Roman"/>
      <family val="1"/>
    </font>
    <font>
      <sz val="8"/>
      <color theme="1"/>
      <name val="Calibri"/>
      <family val="2"/>
    </font>
    <font>
      <sz val="12"/>
      <color theme="1"/>
      <name val="Courier New"/>
      <family val="3"/>
    </font>
    <font>
      <sz val="11"/>
      <color rgb="FF000000"/>
      <name val="Arial1"/>
    </font>
    <font>
      <vertAlign val="subscript"/>
      <sz val="12"/>
      <color theme="1"/>
      <name val="Times New Roman"/>
      <family val="1"/>
    </font>
    <font>
      <sz val="11"/>
      <name val="Times New Roman"/>
      <family val="1"/>
    </font>
    <font>
      <b/>
      <sz val="11"/>
      <name val="Times New Roman"/>
      <family val="1"/>
    </font>
    <font>
      <sz val="11"/>
      <color rgb="FFFF0000"/>
      <name val="Times New Roman"/>
      <family val="1"/>
    </font>
    <font>
      <i/>
      <u/>
      <sz val="11"/>
      <color theme="1"/>
      <name val="Times New Roman"/>
      <family val="1"/>
    </font>
    <font>
      <sz val="11"/>
      <color rgb="FF0000CC"/>
      <name val="Times New Roman"/>
      <family val="1"/>
    </font>
    <font>
      <strike/>
      <sz val="11"/>
      <color rgb="FF0000CC"/>
      <name val="Times New Roman"/>
      <family val="1"/>
    </font>
    <font>
      <sz val="11"/>
      <color rgb="FF000000"/>
      <name val="Calibri"/>
      <family val="2"/>
      <scheme val="minor"/>
    </font>
    <font>
      <sz val="12"/>
      <color rgb="FF000000"/>
      <name val="Calibri"/>
      <family val="2"/>
      <scheme val="minor"/>
    </font>
    <font>
      <sz val="12"/>
      <color rgb="FF000000"/>
      <name val="Symbol"/>
      <family val="1"/>
      <charset val="2"/>
    </font>
    <font>
      <sz val="12"/>
      <color rgb="FF000000"/>
      <name val="Courier New"/>
      <family val="3"/>
    </font>
    <font>
      <sz val="12"/>
      <color rgb="FFFF0000"/>
      <name val="Courier New"/>
      <family val="3"/>
    </font>
    <font>
      <sz val="7"/>
      <color rgb="FFFF0000"/>
      <name val="Times New Roman"/>
      <family val="1"/>
    </font>
    <font>
      <sz val="11"/>
      <color rgb="FF0070C0"/>
      <name val="Calibri"/>
      <family val="2"/>
      <scheme val="minor"/>
    </font>
    <font>
      <strike/>
      <sz val="12"/>
      <color theme="1"/>
      <name val="Calibri"/>
      <family val="2"/>
      <scheme val="minor"/>
    </font>
    <font>
      <b/>
      <strike/>
      <sz val="12"/>
      <color theme="1"/>
      <name val="Calibri"/>
      <family val="2"/>
      <scheme val="minor"/>
    </font>
    <font>
      <strike/>
      <vertAlign val="subscript"/>
      <sz val="12"/>
      <color theme="1"/>
      <name val="Times New Roman"/>
      <family val="1"/>
    </font>
    <font>
      <strike/>
      <vertAlign val="superscript"/>
      <sz val="12"/>
      <color theme="1"/>
      <name val="Times New Roman"/>
      <family val="1"/>
    </font>
    <font>
      <b/>
      <sz val="11"/>
      <color rgb="FF000000"/>
      <name val="Times New Roman"/>
      <family val="1"/>
    </font>
    <font>
      <sz val="11"/>
      <name val="TimesNewRoman"/>
    </font>
    <font>
      <sz val="22"/>
      <name val="Arial"/>
      <family val="2"/>
    </font>
    <font>
      <b/>
      <sz val="12"/>
      <color theme="0"/>
      <name val="Times New Roman"/>
      <family val="1"/>
    </font>
    <font>
      <b/>
      <sz val="10"/>
      <color theme="0"/>
      <name val="Arial"/>
      <family val="2"/>
    </font>
    <font>
      <b/>
      <u/>
      <sz val="12"/>
      <color theme="1"/>
      <name val="Times New Roman"/>
      <family val="1"/>
    </font>
    <font>
      <i/>
      <sz val="10"/>
      <name val="Arial"/>
      <family val="2"/>
    </font>
    <font>
      <sz val="10"/>
      <color rgb="FFFF0000"/>
      <name val="Arial"/>
      <family val="2"/>
    </font>
    <font>
      <b/>
      <u/>
      <sz val="10"/>
      <name val="Arial"/>
      <family val="2"/>
    </font>
    <font>
      <u/>
      <sz val="11"/>
      <color theme="10"/>
      <name val="Calibri"/>
      <family val="2"/>
      <scheme val="minor"/>
    </font>
    <font>
      <sz val="11"/>
      <name val="Calibri"/>
      <family val="2"/>
    </font>
    <font>
      <i/>
      <sz val="12"/>
      <color rgb="FF0070C0"/>
      <name val="Times New Roman"/>
      <family val="1"/>
    </font>
    <font>
      <sz val="12"/>
      <color rgb="FF0070C0"/>
      <name val="Times New Roman"/>
      <family val="1"/>
    </font>
    <font>
      <b/>
      <sz val="26"/>
      <color theme="4"/>
      <name val="Calibri Light"/>
      <family val="2"/>
    </font>
    <font>
      <sz val="11"/>
      <color theme="4"/>
      <name val="Calibri"/>
      <family val="2"/>
      <scheme val="minor"/>
    </font>
    <font>
      <sz val="16"/>
      <color theme="4"/>
      <name val="Cambria"/>
      <family val="2"/>
      <scheme val="major"/>
    </font>
    <font>
      <sz val="11"/>
      <name val="Aptos Narrow"/>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2"/>
        <bgColor indexed="64"/>
      </patternFill>
    </fill>
    <fill>
      <patternFill patternType="solid">
        <fgColor rgb="FFFFFFFF"/>
        <bgColor indexed="64"/>
      </patternFill>
    </fill>
    <fill>
      <patternFill patternType="solid">
        <fgColor rgb="FFFFFF66"/>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F2CEEF"/>
        <bgColor rgb="FFF2CEEF"/>
      </patternFill>
    </fill>
    <fill>
      <patternFill patternType="solid">
        <fgColor rgb="FFC1F0C8"/>
        <bgColor rgb="FFC1F0C8"/>
      </patternFill>
    </fill>
    <fill>
      <patternFill patternType="solid">
        <fgColor rgb="FFFFFF00"/>
        <bgColor rgb="FFFFFF00"/>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E7E6E6"/>
        <bgColor rgb="FF000000"/>
      </patternFill>
    </fill>
    <fill>
      <patternFill patternType="solid">
        <fgColor theme="8"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bgColor theme="6"/>
      </patternFill>
    </fill>
    <fill>
      <patternFill patternType="solid">
        <fgColor theme="5"/>
        <bgColor theme="5"/>
      </patternFill>
    </fill>
    <fill>
      <patternFill patternType="solid">
        <fgColor theme="4"/>
        <bgColor theme="4"/>
      </patternFill>
    </fill>
    <fill>
      <patternFill patternType="solid">
        <fgColor rgb="FFFFFFCC"/>
        <bgColor indexed="64"/>
      </patternFill>
    </fill>
    <fill>
      <patternFill patternType="solid">
        <fgColor theme="3" tint="0.79998168889431442"/>
        <bgColor indexed="64"/>
      </patternFill>
    </fill>
    <fill>
      <patternFill patternType="solid">
        <fgColor theme="6" tint="0.79998168889431442"/>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rgb="FF7F7F7F"/>
      </left>
      <right style="medium">
        <color rgb="FF7F7F7F"/>
      </right>
      <top style="medium">
        <color rgb="FF7F7F7F"/>
      </top>
      <bottom style="medium">
        <color rgb="FF7F7F7F"/>
      </bottom>
      <diagonal/>
    </border>
    <border>
      <left/>
      <right style="medium">
        <color rgb="FF7F7F7F"/>
      </right>
      <top style="medium">
        <color rgb="FF7F7F7F"/>
      </top>
      <bottom style="medium">
        <color rgb="FF7F7F7F"/>
      </bottom>
      <diagonal/>
    </border>
    <border>
      <left style="medium">
        <color rgb="FF7F7F7F"/>
      </left>
      <right style="medium">
        <color rgb="FF7F7F7F"/>
      </right>
      <top/>
      <bottom/>
      <diagonal/>
    </border>
    <border>
      <left/>
      <right style="medium">
        <color rgb="FF7F7F7F"/>
      </right>
      <top/>
      <bottom/>
      <diagonal/>
    </border>
    <border>
      <left style="medium">
        <color rgb="FF7F7F7F"/>
      </left>
      <right style="medium">
        <color rgb="FF7F7F7F"/>
      </right>
      <top/>
      <bottom style="medium">
        <color rgb="FF7F7F7F"/>
      </bottom>
      <diagonal/>
    </border>
    <border>
      <left/>
      <right style="medium">
        <color rgb="FF7F7F7F"/>
      </right>
      <top/>
      <bottom style="medium">
        <color rgb="FF7F7F7F"/>
      </bottom>
      <diagonal/>
    </border>
    <border>
      <left/>
      <right/>
      <top style="medium">
        <color auto="1"/>
      </top>
      <bottom style="medium">
        <color auto="1"/>
      </bottom>
      <diagonal/>
    </border>
    <border>
      <left/>
      <right style="medium">
        <color indexed="64"/>
      </right>
      <top style="medium">
        <color indexed="64"/>
      </top>
      <bottom/>
      <diagonal/>
    </border>
    <border>
      <left/>
      <right/>
      <top/>
      <bottom style="medium">
        <color indexed="64"/>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right/>
      <top/>
      <bottom style="medium">
        <color auto="1"/>
      </bottom>
      <diagonal/>
    </border>
    <border>
      <left style="thick">
        <color indexed="64"/>
      </left>
      <right style="thick">
        <color indexed="64"/>
      </right>
      <top style="thick">
        <color indexed="64"/>
      </top>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bottom style="medium">
        <color indexed="64"/>
      </bottom>
      <diagonal/>
    </border>
    <border>
      <left/>
      <right style="thick">
        <color indexed="64"/>
      </right>
      <top/>
      <bottom style="medium">
        <color indexed="64"/>
      </bottom>
      <diagonal/>
    </border>
    <border>
      <left style="thick">
        <color indexed="64"/>
      </left>
      <right style="thick">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n">
        <color auto="1"/>
      </left>
      <right style="thin">
        <color auto="1"/>
      </right>
      <top style="thin">
        <color auto="1"/>
      </top>
      <bottom style="thin">
        <color auto="1"/>
      </bottom>
      <diagonal/>
    </border>
    <border>
      <left/>
      <right style="medium">
        <color rgb="FF000000"/>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64"/>
      </right>
      <top style="medium">
        <color indexed="64"/>
      </top>
      <bottom style="medium">
        <color indexed="64"/>
      </bottom>
      <diagonal/>
    </border>
    <border>
      <left/>
      <right style="medium">
        <color indexed="64"/>
      </right>
      <top style="medium">
        <color rgb="FF9BBB59"/>
      </top>
      <bottom style="medium">
        <color indexed="64"/>
      </bottom>
      <diagonal/>
    </border>
    <border>
      <left/>
      <right/>
      <top style="medium">
        <color rgb="FF9BBB59"/>
      </top>
      <bottom style="medium">
        <color indexed="64"/>
      </bottom>
      <diagonal/>
    </border>
    <border>
      <left/>
      <right style="medium">
        <color indexed="64"/>
      </right>
      <top style="medium">
        <color rgb="FF9BBB59"/>
      </top>
      <bottom/>
      <diagonal/>
    </border>
    <border>
      <left/>
      <right/>
      <top style="medium">
        <color rgb="FF9BBB59"/>
      </top>
      <bottom/>
      <diagonal/>
    </border>
    <border>
      <left/>
      <right style="medium">
        <color indexed="64"/>
      </right>
      <top style="medium">
        <color rgb="FF4F81BD"/>
      </top>
      <bottom style="medium">
        <color indexed="64"/>
      </bottom>
      <diagonal/>
    </border>
    <border>
      <left/>
      <right/>
      <top style="medium">
        <color rgb="FF4F81BD"/>
      </top>
      <bottom style="medium">
        <color indexed="64"/>
      </bottom>
      <diagonal/>
    </border>
    <border>
      <left/>
      <right style="medium">
        <color indexed="64"/>
      </right>
      <top style="medium">
        <color rgb="FF4F81BD"/>
      </top>
      <bottom/>
      <diagonal/>
    </border>
    <border>
      <left/>
      <right/>
      <top style="medium">
        <color rgb="FF4F81BD"/>
      </top>
      <bottom/>
      <diagonal/>
    </border>
    <border>
      <left/>
      <right style="thin">
        <color theme="4"/>
      </right>
      <top style="thin">
        <color theme="4"/>
      </top>
      <bottom style="thin">
        <color theme="4"/>
      </bottom>
      <diagonal/>
    </border>
    <border>
      <left/>
      <right/>
      <top style="thin">
        <color theme="4"/>
      </top>
      <bottom style="thin">
        <color theme="4"/>
      </bottom>
      <diagonal/>
    </border>
    <border>
      <left style="thin">
        <color theme="4"/>
      </left>
      <right/>
      <top style="thin">
        <color theme="4"/>
      </top>
      <bottom style="thin">
        <color theme="4"/>
      </bottom>
      <diagonal/>
    </border>
    <border>
      <left/>
      <right style="thin">
        <color theme="4"/>
      </right>
      <top style="thin">
        <color theme="4"/>
      </top>
      <bottom/>
      <diagonal/>
    </border>
    <border>
      <left/>
      <right/>
      <top style="thin">
        <color theme="4"/>
      </top>
      <bottom/>
      <diagonal/>
    </border>
    <border>
      <left style="thin">
        <color theme="4"/>
      </left>
      <right/>
      <top style="thin">
        <color theme="4"/>
      </top>
      <bottom/>
      <diagonal/>
    </border>
    <border>
      <left/>
      <right style="medium">
        <color auto="1"/>
      </right>
      <top style="thin">
        <color theme="6"/>
      </top>
      <bottom style="medium">
        <color auto="1"/>
      </bottom>
      <diagonal/>
    </border>
    <border>
      <left style="thin">
        <color theme="6"/>
      </left>
      <right/>
      <top style="thin">
        <color theme="6"/>
      </top>
      <bottom style="medium">
        <color auto="1"/>
      </bottom>
      <diagonal/>
    </border>
    <border>
      <left/>
      <right style="medium">
        <color auto="1"/>
      </right>
      <top style="thin">
        <color theme="6"/>
      </top>
      <bottom/>
      <diagonal/>
    </border>
    <border>
      <left style="thin">
        <color theme="6"/>
      </left>
      <right/>
      <top style="thin">
        <color theme="6"/>
      </top>
      <bottom/>
      <diagonal/>
    </border>
    <border>
      <left/>
      <right style="thin">
        <color theme="5"/>
      </right>
      <top style="thin">
        <color theme="5"/>
      </top>
      <bottom style="thin">
        <color theme="5"/>
      </bottom>
      <diagonal/>
    </border>
    <border>
      <left/>
      <right/>
      <top style="thin">
        <color theme="5"/>
      </top>
      <bottom style="thin">
        <color theme="5"/>
      </bottom>
      <diagonal/>
    </border>
    <border>
      <left style="thin">
        <color theme="5"/>
      </left>
      <right/>
      <top style="thin">
        <color theme="5"/>
      </top>
      <bottom style="thin">
        <color theme="5"/>
      </bottom>
      <diagonal/>
    </border>
    <border>
      <left/>
      <right style="thin">
        <color theme="5"/>
      </right>
      <top style="thin">
        <color theme="5"/>
      </top>
      <bottom/>
      <diagonal/>
    </border>
    <border>
      <left/>
      <right/>
      <top style="thin">
        <color theme="5"/>
      </top>
      <bottom/>
      <diagonal/>
    </border>
    <border>
      <left style="thin">
        <color theme="5"/>
      </left>
      <right/>
      <top style="thin">
        <color theme="5"/>
      </top>
      <bottom/>
      <diagonal/>
    </border>
  </borders>
  <cellStyleXfs count="166">
    <xf numFmtId="0" fontId="0" fillId="0" borderId="0"/>
    <xf numFmtId="0" fontId="30" fillId="0" borderId="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164" fontId="11" fillId="0" borderId="0" applyFont="0" applyFill="0" applyBorder="0" applyAlignment="0" applyProtection="0"/>
    <xf numFmtId="43" fontId="24"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43" fontId="33" fillId="0" borderId="0" applyFont="0" applyFill="0" applyBorder="0" applyAlignment="0" applyProtection="0"/>
    <xf numFmtId="43" fontId="10" fillId="0" borderId="0" applyFont="0" applyFill="0" applyBorder="0" applyAlignment="0" applyProtection="0"/>
    <xf numFmtId="44" fontId="24" fillId="0" borderId="0" applyFont="0" applyFill="0" applyBorder="0" applyAlignment="0" applyProtection="0"/>
    <xf numFmtId="44" fontId="31" fillId="0" borderId="0" applyFont="0" applyFill="0" applyBorder="0" applyAlignment="0" applyProtection="0"/>
    <xf numFmtId="44" fontId="32"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0" borderId="3" applyNumberFormat="0" applyFill="0" applyAlignment="0" applyProtection="0"/>
    <xf numFmtId="0" fontId="18" fillId="0" borderId="3"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7" borderId="1" applyNumberFormat="0" applyAlignment="0" applyProtection="0"/>
    <xf numFmtId="0" fontId="21" fillId="7" borderId="1" applyNumberFormat="0" applyAlignment="0" applyProtection="0"/>
    <xf numFmtId="0" fontId="22" fillId="0" borderId="6" applyNumberFormat="0" applyFill="0" applyAlignment="0" applyProtection="0"/>
    <xf numFmtId="0" fontId="22" fillId="0" borderId="6" applyNumberFormat="0" applyFill="0" applyAlignment="0" applyProtection="0"/>
    <xf numFmtId="0" fontId="23" fillId="22" borderId="0" applyNumberFormat="0" applyBorder="0" applyAlignment="0" applyProtection="0"/>
    <xf numFmtId="0" fontId="23" fillId="22" borderId="0" applyNumberFormat="0" applyBorder="0" applyAlignment="0" applyProtection="0"/>
    <xf numFmtId="0" fontId="11" fillId="0" borderId="0"/>
    <xf numFmtId="0" fontId="10" fillId="0" borderId="0"/>
    <xf numFmtId="0" fontId="24" fillId="0" borderId="0"/>
    <xf numFmtId="0" fontId="10" fillId="0" borderId="0"/>
    <xf numFmtId="0" fontId="10" fillId="0" borderId="0"/>
    <xf numFmtId="0" fontId="24" fillId="23" borderId="7" applyNumberFormat="0" applyFont="0" applyAlignment="0" applyProtection="0"/>
    <xf numFmtId="0" fontId="10"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11" fillId="0" borderId="0" applyFont="0" applyFill="0" applyBorder="0" applyAlignment="0" applyProtection="0"/>
    <xf numFmtId="9" fontId="24" fillId="0" borderId="0" applyFont="0" applyFill="0" applyBorder="0" applyAlignment="0" applyProtection="0"/>
    <xf numFmtId="9" fontId="31" fillId="0" borderId="0" applyFont="0" applyFill="0" applyBorder="0" applyAlignment="0" applyProtection="0"/>
    <xf numFmtId="9" fontId="32" fillId="0" borderId="0" applyFont="0" applyFill="0" applyBorder="0" applyAlignment="0" applyProtection="0"/>
    <xf numFmtId="9" fontId="33"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0"/>
    <xf numFmtId="9" fontId="10" fillId="0" borderId="0" applyFont="0" applyFill="0" applyBorder="0" applyAlignment="0" applyProtection="0"/>
    <xf numFmtId="0" fontId="9" fillId="0" borderId="0"/>
    <xf numFmtId="0" fontId="8"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7" fillId="0" borderId="0"/>
    <xf numFmtId="0" fontId="7" fillId="0" borderId="0"/>
    <xf numFmtId="0" fontId="6" fillId="0" borderId="0"/>
    <xf numFmtId="0" fontId="6" fillId="0" borderId="0"/>
    <xf numFmtId="9" fontId="6" fillId="0" borderId="0" applyFont="0" applyFill="0" applyBorder="0" applyAlignment="0" applyProtection="0"/>
    <xf numFmtId="43"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9" fontId="10" fillId="0" borderId="0" applyFont="0" applyFill="0" applyBorder="0" applyAlignment="0" applyProtection="0"/>
    <xf numFmtId="0" fontId="37"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39" fillId="0" borderId="0"/>
    <xf numFmtId="44" fontId="10" fillId="0" borderId="0" applyFont="0" applyFill="0" applyBorder="0" applyAlignment="0" applyProtection="0"/>
    <xf numFmtId="43" fontId="10" fillId="0" borderId="0" applyFont="0" applyFill="0" applyBorder="0" applyAlignment="0" applyProtection="0"/>
    <xf numFmtId="0" fontId="4" fillId="0" borderId="0"/>
    <xf numFmtId="0" fontId="10" fillId="0" borderId="0"/>
    <xf numFmtId="0" fontId="4" fillId="0" borderId="0"/>
    <xf numFmtId="0" fontId="3" fillId="0" borderId="0"/>
    <xf numFmtId="0" fontId="2" fillId="0" borderId="0"/>
    <xf numFmtId="0" fontId="10" fillId="0" borderId="0"/>
    <xf numFmtId="0" fontId="70" fillId="0" borderId="0"/>
    <xf numFmtId="0" fontId="99" fillId="0" borderId="0" applyNumberFormat="0" applyBorder="0" applyProtection="0"/>
    <xf numFmtId="171" fontId="101" fillId="0" borderId="0" applyFont="0" applyFill="0" applyBorder="0" applyAlignment="0" applyProtection="0"/>
    <xf numFmtId="171" fontId="101" fillId="0" borderId="0" applyFont="0" applyFill="0" applyBorder="0" applyAlignment="0" applyProtection="0"/>
    <xf numFmtId="9" fontId="101" fillId="0" borderId="0" applyFont="0" applyFill="0" applyBorder="0" applyAlignment="0" applyProtection="0"/>
    <xf numFmtId="0" fontId="10" fillId="0" borderId="0"/>
    <xf numFmtId="0" fontId="2" fillId="0" borderId="0"/>
    <xf numFmtId="43" fontId="10" fillId="0" borderId="0" applyFont="0" applyFill="0" applyBorder="0" applyAlignment="0" applyProtection="0"/>
    <xf numFmtId="9" fontId="10" fillId="0" borderId="0" applyFont="0" applyFill="0" applyBorder="0" applyAlignment="0" applyProtection="0"/>
    <xf numFmtId="43" fontId="2" fillId="0" borderId="0" applyFont="0" applyFill="0" applyBorder="0" applyAlignment="0" applyProtection="0"/>
    <xf numFmtId="0" fontId="114" fillId="0" borderId="0"/>
    <xf numFmtId="0" fontId="2" fillId="0" borderId="0"/>
    <xf numFmtId="43" fontId="2" fillId="0" borderId="0" applyFont="0" applyFill="0" applyBorder="0" applyAlignment="0" applyProtection="0"/>
    <xf numFmtId="177"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0" fillId="0" borderId="0"/>
    <xf numFmtId="9" fontId="10" fillId="0" borderId="0" applyFont="0" applyFill="0" applyBorder="0" applyAlignment="0" applyProtection="0">
      <alignment vertical="center"/>
    </xf>
    <xf numFmtId="9" fontId="10" fillId="0" borderId="0" applyFont="0" applyFill="0" applyBorder="0" applyAlignment="0" applyProtection="0"/>
    <xf numFmtId="43" fontId="2" fillId="0" borderId="0" applyFont="0" applyFill="0" applyBorder="0" applyAlignment="0" applyProtection="0"/>
    <xf numFmtId="0" fontId="142" fillId="0" borderId="0" applyNumberFormat="0" applyFill="0" applyBorder="0" applyAlignment="0" applyProtection="0"/>
    <xf numFmtId="9" fontId="2" fillId="0" borderId="0" applyFont="0" applyFill="0" applyBorder="0" applyAlignment="0" applyProtection="0"/>
    <xf numFmtId="0" fontId="1" fillId="0" borderId="0"/>
  </cellStyleXfs>
  <cellXfs count="1195">
    <xf numFmtId="0" fontId="0" fillId="0" borderId="0" xfId="0"/>
    <xf numFmtId="0" fontId="40" fillId="0" borderId="0" xfId="0" applyFont="1"/>
    <xf numFmtId="0" fontId="10" fillId="0" borderId="0" xfId="0" applyFont="1"/>
    <xf numFmtId="0" fontId="42" fillId="24" borderId="0" xfId="139" applyFont="1" applyFill="1"/>
    <xf numFmtId="0" fontId="3" fillId="24" borderId="0" xfId="139" applyFill="1"/>
    <xf numFmtId="0" fontId="3" fillId="0" borderId="0" xfId="139"/>
    <xf numFmtId="0" fontId="43" fillId="24" borderId="0" xfId="139" applyFont="1" applyFill="1"/>
    <xf numFmtId="0" fontId="38" fillId="24" borderId="0" xfId="139" applyFont="1" applyFill="1"/>
    <xf numFmtId="0" fontId="44" fillId="24" borderId="0" xfId="139" applyFont="1" applyFill="1"/>
    <xf numFmtId="0" fontId="45" fillId="24" borderId="0" xfId="139" applyFont="1" applyFill="1" applyAlignment="1">
      <alignment horizontal="left" vertical="center" indent="4"/>
    </xf>
    <xf numFmtId="0" fontId="36" fillId="24" borderId="0" xfId="139" applyFont="1" applyFill="1" applyAlignment="1">
      <alignment vertical="center"/>
    </xf>
    <xf numFmtId="0" fontId="43" fillId="24" borderId="12" xfId="139" applyFont="1" applyFill="1" applyBorder="1" applyAlignment="1">
      <alignment vertical="center" wrapText="1"/>
    </xf>
    <xf numFmtId="0" fontId="43" fillId="24" borderId="10" xfId="139" applyFont="1" applyFill="1" applyBorder="1" applyAlignment="1">
      <alignment vertical="center" wrapText="1"/>
    </xf>
    <xf numFmtId="0" fontId="45" fillId="24" borderId="11" xfId="139" applyFont="1" applyFill="1" applyBorder="1" applyAlignment="1">
      <alignment horizontal="center" vertical="center" wrapText="1"/>
    </xf>
    <xf numFmtId="0" fontId="45" fillId="24" borderId="13" xfId="139" applyFont="1" applyFill="1" applyBorder="1" applyAlignment="1">
      <alignment horizontal="center" vertical="center" wrapText="1"/>
    </xf>
    <xf numFmtId="0" fontId="45" fillId="24" borderId="0" xfId="139" applyFont="1" applyFill="1" applyAlignment="1">
      <alignment vertical="center"/>
    </xf>
    <xf numFmtId="0" fontId="47" fillId="24" borderId="0" xfId="139" applyFont="1" applyFill="1"/>
    <xf numFmtId="0" fontId="43" fillId="24" borderId="12" xfId="139" applyFont="1" applyFill="1" applyBorder="1" applyAlignment="1">
      <alignment horizontal="center" vertical="center" wrapText="1"/>
    </xf>
    <xf numFmtId="0" fontId="43" fillId="24" borderId="10" xfId="139" applyFont="1" applyFill="1" applyBorder="1" applyAlignment="1">
      <alignment horizontal="center" vertical="center" wrapText="1"/>
    </xf>
    <xf numFmtId="0" fontId="36" fillId="0" borderId="0" xfId="139" applyFont="1" applyAlignment="1">
      <alignment vertical="center"/>
    </xf>
    <xf numFmtId="0" fontId="35" fillId="0" borderId="0" xfId="139" applyFont="1"/>
    <xf numFmtId="0" fontId="36" fillId="24" borderId="0" xfId="139" applyFont="1" applyFill="1"/>
    <xf numFmtId="0" fontId="48" fillId="24" borderId="0" xfId="139" applyFont="1" applyFill="1"/>
    <xf numFmtId="0" fontId="48" fillId="0" borderId="0" xfId="139" applyFont="1"/>
    <xf numFmtId="0" fontId="36" fillId="0" borderId="0" xfId="139" applyFont="1"/>
    <xf numFmtId="0" fontId="34" fillId="0" borderId="0" xfId="139" applyFont="1"/>
    <xf numFmtId="0" fontId="41" fillId="0" borderId="0" xfId="139" applyFont="1"/>
    <xf numFmtId="0" fontId="45" fillId="24" borderId="0" xfId="139" applyFont="1" applyFill="1"/>
    <xf numFmtId="0" fontId="45" fillId="0" borderId="0" xfId="139" applyFont="1"/>
    <xf numFmtId="0" fontId="45" fillId="24" borderId="11" xfId="139" applyFont="1" applyFill="1" applyBorder="1" applyAlignment="1">
      <alignment vertical="center" wrapText="1"/>
    </xf>
    <xf numFmtId="0" fontId="45" fillId="24" borderId="13" xfId="139" applyFont="1" applyFill="1" applyBorder="1" applyAlignment="1">
      <alignment horizontal="right" vertical="center" wrapText="1"/>
    </xf>
    <xf numFmtId="0" fontId="45" fillId="24" borderId="10" xfId="139" applyFont="1" applyFill="1" applyBorder="1" applyAlignment="1">
      <alignment horizontal="center" vertical="center" wrapText="1"/>
    </xf>
    <xf numFmtId="0" fontId="43" fillId="24" borderId="11" xfId="139" applyFont="1" applyFill="1" applyBorder="1" applyAlignment="1">
      <alignment vertical="center" wrapText="1"/>
    </xf>
    <xf numFmtId="0" fontId="45" fillId="24" borderId="0" xfId="139" applyFont="1" applyFill="1" applyAlignment="1">
      <alignment horizontal="left" vertical="center"/>
    </xf>
    <xf numFmtId="3" fontId="45" fillId="24" borderId="13" xfId="139" applyNumberFormat="1" applyFont="1" applyFill="1" applyBorder="1" applyAlignment="1">
      <alignment horizontal="right" vertical="center" wrapText="1"/>
    </xf>
    <xf numFmtId="0" fontId="45" fillId="24" borderId="11" xfId="139" applyFont="1" applyFill="1" applyBorder="1" applyAlignment="1">
      <alignment horizontal="left" vertical="center" wrapText="1"/>
    </xf>
    <xf numFmtId="0" fontId="49" fillId="24" borderId="0" xfId="139" applyFont="1" applyFill="1" applyAlignment="1">
      <alignment vertical="center"/>
    </xf>
    <xf numFmtId="0" fontId="47" fillId="0" borderId="0" xfId="139" applyFont="1"/>
    <xf numFmtId="0" fontId="49" fillId="24" borderId="0" xfId="139" applyFont="1" applyFill="1" applyAlignment="1">
      <alignment horizontal="left" vertical="center" indent="12"/>
    </xf>
    <xf numFmtId="0" fontId="43" fillId="24" borderId="12" xfId="139" applyFont="1" applyFill="1" applyBorder="1" applyAlignment="1">
      <alignment horizontal="left" vertical="center" wrapText="1"/>
    </xf>
    <xf numFmtId="3" fontId="45" fillId="24" borderId="13" xfId="139" applyNumberFormat="1" applyFont="1" applyFill="1" applyBorder="1" applyAlignment="1">
      <alignment horizontal="center" vertical="center" wrapText="1"/>
    </xf>
    <xf numFmtId="0" fontId="45" fillId="24" borderId="12" xfId="139" applyFont="1" applyFill="1" applyBorder="1" applyAlignment="1">
      <alignment vertical="center"/>
    </xf>
    <xf numFmtId="1" fontId="45" fillId="24" borderId="10" xfId="139" applyNumberFormat="1" applyFont="1" applyFill="1" applyBorder="1" applyAlignment="1">
      <alignment horizontal="right" vertical="center"/>
    </xf>
    <xf numFmtId="0" fontId="45" fillId="24" borderId="11" xfId="139" applyFont="1" applyFill="1" applyBorder="1" applyAlignment="1">
      <alignment vertical="center"/>
    </xf>
    <xf numFmtId="1" fontId="45" fillId="24" borderId="13" xfId="139" applyNumberFormat="1" applyFont="1" applyFill="1" applyBorder="1" applyAlignment="1">
      <alignment horizontal="right" vertical="center"/>
    </xf>
    <xf numFmtId="0" fontId="45" fillId="0" borderId="0" xfId="139" applyFont="1" applyAlignment="1">
      <alignment horizontal="left" vertical="center" indent="9"/>
    </xf>
    <xf numFmtId="9" fontId="45" fillId="24" borderId="13" xfId="139" applyNumberFormat="1" applyFont="1" applyFill="1" applyBorder="1" applyAlignment="1">
      <alignment horizontal="center" vertical="center" wrapText="1"/>
    </xf>
    <xf numFmtId="0" fontId="45" fillId="24" borderId="0" xfId="139" applyFont="1" applyFill="1" applyAlignment="1">
      <alignment horizontal="left" vertical="center" indent="9"/>
    </xf>
    <xf numFmtId="0" fontId="50" fillId="24" borderId="0" xfId="139" applyFont="1" applyFill="1"/>
    <xf numFmtId="0" fontId="51" fillId="24" borderId="0" xfId="139" applyFont="1" applyFill="1"/>
    <xf numFmtId="0" fontId="51" fillId="0" borderId="0" xfId="139" applyFont="1"/>
    <xf numFmtId="0" fontId="52" fillId="24" borderId="0" xfId="139" applyFont="1" applyFill="1"/>
    <xf numFmtId="0" fontId="53" fillId="24" borderId="0" xfId="139" applyFont="1" applyFill="1" applyAlignment="1">
      <alignment vertical="center"/>
    </xf>
    <xf numFmtId="0" fontId="54" fillId="24" borderId="0" xfId="139" applyFont="1" applyFill="1"/>
    <xf numFmtId="0" fontId="53" fillId="24" borderId="0" xfId="139" applyFont="1" applyFill="1" applyAlignment="1">
      <alignment horizontal="left" vertical="center" indent="4"/>
    </xf>
    <xf numFmtId="0" fontId="52" fillId="24" borderId="12" xfId="139" applyFont="1" applyFill="1" applyBorder="1" applyAlignment="1">
      <alignment vertical="center"/>
    </xf>
    <xf numFmtId="0" fontId="52" fillId="24" borderId="10" xfId="139" applyFont="1" applyFill="1" applyBorder="1" applyAlignment="1">
      <alignment horizontal="center" vertical="center"/>
    </xf>
    <xf numFmtId="0" fontId="52" fillId="24" borderId="11" xfId="139" applyFont="1" applyFill="1" applyBorder="1" applyAlignment="1">
      <alignment vertical="center"/>
    </xf>
    <xf numFmtId="0" fontId="53" fillId="24" borderId="13" xfId="139" applyFont="1" applyFill="1" applyBorder="1" applyAlignment="1">
      <alignment horizontal="center" vertical="center"/>
    </xf>
    <xf numFmtId="0" fontId="53" fillId="24" borderId="0" xfId="139" applyFont="1" applyFill="1" applyAlignment="1">
      <alignment horizontal="left" vertical="center" indent="12"/>
    </xf>
    <xf numFmtId="0" fontId="57" fillId="24" borderId="0" xfId="139" applyFont="1" applyFill="1" applyAlignment="1">
      <alignment vertical="center"/>
    </xf>
    <xf numFmtId="0" fontId="53" fillId="24" borderId="0" xfId="139" applyFont="1" applyFill="1" applyAlignment="1">
      <alignment horizontal="left" vertical="center"/>
    </xf>
    <xf numFmtId="0" fontId="53" fillId="0" borderId="0" xfId="139" applyFont="1"/>
    <xf numFmtId="0" fontId="54" fillId="0" borderId="0" xfId="139" applyFont="1"/>
    <xf numFmtId="0" fontId="56" fillId="0" borderId="0" xfId="139" applyFont="1"/>
    <xf numFmtId="0" fontId="42" fillId="25" borderId="0" xfId="140" applyFont="1" applyFill="1"/>
    <xf numFmtId="0" fontId="2" fillId="25" borderId="0" xfId="140" applyFill="1"/>
    <xf numFmtId="0" fontId="2" fillId="0" borderId="0" xfId="140"/>
    <xf numFmtId="0" fontId="43" fillId="25" borderId="0" xfId="140" applyFont="1" applyFill="1"/>
    <xf numFmtId="0" fontId="38" fillId="25" borderId="0" xfId="140" applyFont="1" applyFill="1"/>
    <xf numFmtId="0" fontId="36" fillId="25" borderId="0" xfId="140" applyFont="1" applyFill="1" applyAlignment="1">
      <alignment vertical="center"/>
    </xf>
    <xf numFmtId="0" fontId="36" fillId="25" borderId="0" xfId="140" applyFont="1" applyFill="1" applyAlignment="1">
      <alignment horizontal="left" vertical="center" indent="4"/>
    </xf>
    <xf numFmtId="0" fontId="58" fillId="25" borderId="13" xfId="140" applyFont="1" applyFill="1" applyBorder="1" applyAlignment="1">
      <alignment vertical="center"/>
    </xf>
    <xf numFmtId="0" fontId="59" fillId="25" borderId="10" xfId="140" applyFont="1" applyFill="1" applyBorder="1" applyAlignment="1">
      <alignment horizontal="center" vertical="center"/>
    </xf>
    <xf numFmtId="0" fontId="59" fillId="25" borderId="10" xfId="140" applyFont="1" applyFill="1" applyBorder="1" applyAlignment="1">
      <alignment horizontal="center" vertical="center" wrapText="1"/>
    </xf>
    <xf numFmtId="0" fontId="59" fillId="25" borderId="15" xfId="140" applyFont="1" applyFill="1" applyBorder="1" applyAlignment="1">
      <alignment vertical="center"/>
    </xf>
    <xf numFmtId="0" fontId="59" fillId="25" borderId="11" xfId="140" applyFont="1" applyFill="1" applyBorder="1" applyAlignment="1">
      <alignment vertical="center"/>
    </xf>
    <xf numFmtId="0" fontId="58" fillId="25" borderId="11" xfId="140" applyFont="1" applyFill="1" applyBorder="1" applyAlignment="1">
      <alignment horizontal="center" vertical="center"/>
    </xf>
    <xf numFmtId="0" fontId="58" fillId="25" borderId="13" xfId="140" applyFont="1" applyFill="1" applyBorder="1" applyAlignment="1">
      <alignment horizontal="center" vertical="center"/>
    </xf>
    <xf numFmtId="0" fontId="58" fillId="25" borderId="13" xfId="140" applyFont="1" applyFill="1" applyBorder="1" applyAlignment="1">
      <alignment horizontal="center" vertical="center" wrapText="1"/>
    </xf>
    <xf numFmtId="0" fontId="59" fillId="25" borderId="12" xfId="140" applyFont="1" applyFill="1" applyBorder="1" applyAlignment="1">
      <alignment vertical="center"/>
    </xf>
    <xf numFmtId="0" fontId="58" fillId="25" borderId="10" xfId="140" applyFont="1" applyFill="1" applyBorder="1" applyAlignment="1">
      <alignment horizontal="center" vertical="center"/>
    </xf>
    <xf numFmtId="9" fontId="58" fillId="25" borderId="13" xfId="140" applyNumberFormat="1" applyFont="1" applyFill="1" applyBorder="1" applyAlignment="1">
      <alignment horizontal="center" vertical="center"/>
    </xf>
    <xf numFmtId="0" fontId="36" fillId="25" borderId="0" xfId="140" applyFont="1" applyFill="1" applyAlignment="1">
      <alignment horizontal="left" vertical="center" indent="6"/>
    </xf>
    <xf numFmtId="0" fontId="61" fillId="0" borderId="0" xfId="140" applyFont="1" applyAlignment="1">
      <alignment vertical="center"/>
    </xf>
    <xf numFmtId="0" fontId="60" fillId="0" borderId="0" xfId="140" applyFont="1" applyAlignment="1">
      <alignment vertical="center"/>
    </xf>
    <xf numFmtId="0" fontId="36" fillId="25" borderId="0" xfId="141" applyFont="1" applyFill="1"/>
    <xf numFmtId="0" fontId="36" fillId="25" borderId="0" xfId="141" applyFont="1" applyFill="1" applyAlignment="1">
      <alignment horizontal="center"/>
    </xf>
    <xf numFmtId="0" fontId="64" fillId="25" borderId="17" xfId="141" applyFont="1" applyFill="1" applyBorder="1" applyAlignment="1">
      <alignment horizontal="center" wrapText="1"/>
    </xf>
    <xf numFmtId="0" fontId="64" fillId="25" borderId="18" xfId="141" applyFont="1" applyFill="1" applyBorder="1" applyAlignment="1">
      <alignment horizontal="center" wrapText="1"/>
    </xf>
    <xf numFmtId="0" fontId="64" fillId="25" borderId="21" xfId="141" applyFont="1" applyFill="1" applyBorder="1" applyAlignment="1">
      <alignment horizontal="center" wrapText="1"/>
    </xf>
    <xf numFmtId="0" fontId="64" fillId="25" borderId="0" xfId="141" applyFont="1" applyFill="1" applyAlignment="1">
      <alignment horizontal="center" wrapText="1"/>
    </xf>
    <xf numFmtId="0" fontId="64" fillId="25" borderId="22" xfId="141" applyFont="1" applyFill="1" applyBorder="1" applyAlignment="1">
      <alignment horizontal="center" wrapText="1"/>
    </xf>
    <xf numFmtId="0" fontId="36" fillId="25" borderId="21" xfId="141" applyFont="1" applyFill="1" applyBorder="1" applyAlignment="1">
      <alignment horizontal="center"/>
    </xf>
    <xf numFmtId="3" fontId="36" fillId="25" borderId="21" xfId="141" applyNumberFormat="1" applyFont="1" applyFill="1" applyBorder="1" applyAlignment="1">
      <alignment horizontal="center"/>
    </xf>
    <xf numFmtId="3" fontId="36" fillId="25" borderId="0" xfId="141" applyNumberFormat="1" applyFont="1" applyFill="1" applyAlignment="1">
      <alignment horizontal="center"/>
    </xf>
    <xf numFmtId="3" fontId="36" fillId="25" borderId="22" xfId="141" applyNumberFormat="1" applyFont="1" applyFill="1" applyBorder="1" applyAlignment="1">
      <alignment horizontal="center"/>
    </xf>
    <xf numFmtId="3" fontId="36" fillId="25" borderId="23" xfId="141" applyNumberFormat="1" applyFont="1" applyFill="1" applyBorder="1" applyAlignment="1">
      <alignment horizontal="center"/>
    </xf>
    <xf numFmtId="0" fontId="36" fillId="25" borderId="24" xfId="141" applyFont="1" applyFill="1" applyBorder="1" applyAlignment="1">
      <alignment horizontal="center"/>
    </xf>
    <xf numFmtId="0" fontId="36" fillId="25" borderId="25" xfId="141" applyFont="1" applyFill="1" applyBorder="1" applyAlignment="1">
      <alignment horizontal="center"/>
    </xf>
    <xf numFmtId="3" fontId="36" fillId="25" borderId="24" xfId="141" applyNumberFormat="1" applyFont="1" applyFill="1" applyBorder="1" applyAlignment="1">
      <alignment horizontal="center"/>
    </xf>
    <xf numFmtId="3" fontId="36" fillId="25" borderId="25" xfId="141" applyNumberFormat="1" applyFont="1" applyFill="1" applyBorder="1" applyAlignment="1">
      <alignment horizontal="center"/>
    </xf>
    <xf numFmtId="3" fontId="36" fillId="25" borderId="26" xfId="141" applyNumberFormat="1" applyFont="1" applyFill="1" applyBorder="1" applyAlignment="1">
      <alignment horizontal="center"/>
    </xf>
    <xf numFmtId="3" fontId="36" fillId="25" borderId="27" xfId="141" applyNumberFormat="1" applyFont="1" applyFill="1" applyBorder="1" applyAlignment="1">
      <alignment horizontal="center"/>
    </xf>
    <xf numFmtId="0" fontId="36" fillId="0" borderId="0" xfId="141" applyFont="1" applyAlignment="1">
      <alignment horizontal="left"/>
    </xf>
    <xf numFmtId="0" fontId="59" fillId="25" borderId="12" xfId="140" applyFont="1" applyFill="1" applyBorder="1" applyAlignment="1">
      <alignment vertical="center" wrapText="1"/>
    </xf>
    <xf numFmtId="0" fontId="59" fillId="25" borderId="11" xfId="140" applyFont="1" applyFill="1" applyBorder="1" applyAlignment="1">
      <alignment vertical="center" wrapText="1"/>
    </xf>
    <xf numFmtId="0" fontId="58" fillId="0" borderId="0" xfId="140" applyFont="1" applyAlignment="1">
      <alignment vertical="center" wrapText="1"/>
    </xf>
    <xf numFmtId="0" fontId="36" fillId="25" borderId="0" xfId="140" applyFont="1" applyFill="1"/>
    <xf numFmtId="0" fontId="65" fillId="25" borderId="0" xfId="140" applyFont="1" applyFill="1" applyAlignment="1">
      <alignment horizontal="left" vertical="center" indent="5"/>
    </xf>
    <xf numFmtId="0" fontId="64" fillId="25" borderId="12" xfId="140" applyFont="1" applyFill="1" applyBorder="1" applyAlignment="1">
      <alignment vertical="center" wrapText="1"/>
    </xf>
    <xf numFmtId="3" fontId="36" fillId="25" borderId="10" xfId="140" applyNumberFormat="1" applyFont="1" applyFill="1" applyBorder="1" applyAlignment="1">
      <alignment horizontal="right" vertical="center" wrapText="1"/>
    </xf>
    <xf numFmtId="0" fontId="64" fillId="25" borderId="11" xfId="140" applyFont="1" applyFill="1" applyBorder="1" applyAlignment="1">
      <alignment vertical="center" wrapText="1"/>
    </xf>
    <xf numFmtId="0" fontId="36" fillId="25" borderId="13" xfId="140" applyFont="1" applyFill="1" applyBorder="1" applyAlignment="1">
      <alignment horizontal="right" vertical="center" wrapText="1"/>
    </xf>
    <xf numFmtId="10" fontId="36" fillId="25" borderId="13" xfId="140" applyNumberFormat="1" applyFont="1" applyFill="1" applyBorder="1" applyAlignment="1">
      <alignment horizontal="right" vertical="center" wrapText="1"/>
    </xf>
    <xf numFmtId="9" fontId="36" fillId="25" borderId="13" xfId="140" applyNumberFormat="1" applyFont="1" applyFill="1" applyBorder="1" applyAlignment="1">
      <alignment horizontal="right" vertical="center" wrapText="1"/>
    </xf>
    <xf numFmtId="0" fontId="36" fillId="25" borderId="28" xfId="140" applyFont="1" applyFill="1" applyBorder="1" applyAlignment="1">
      <alignment horizontal="right" vertical="center" wrapText="1"/>
    </xf>
    <xf numFmtId="0" fontId="64" fillId="25" borderId="15" xfId="140" applyFont="1" applyFill="1" applyBorder="1" applyAlignment="1">
      <alignment vertical="center" wrapText="1"/>
    </xf>
    <xf numFmtId="0" fontId="36" fillId="0" borderId="0" xfId="140" applyFont="1" applyAlignment="1">
      <alignment vertical="center"/>
    </xf>
    <xf numFmtId="0" fontId="65" fillId="25" borderId="0" xfId="140" applyFont="1" applyFill="1" applyAlignment="1">
      <alignment horizontal="left" vertical="center" indent="7"/>
    </xf>
    <xf numFmtId="0" fontId="36" fillId="0" borderId="0" xfId="140" applyFont="1"/>
    <xf numFmtId="0" fontId="64" fillId="25" borderId="29" xfId="140" applyFont="1" applyFill="1" applyBorder="1" applyAlignment="1">
      <alignment vertical="center" wrapText="1"/>
    </xf>
    <xf numFmtId="14" fontId="36" fillId="25" borderId="30" xfId="140" applyNumberFormat="1" applyFont="1" applyFill="1" applyBorder="1" applyAlignment="1">
      <alignment vertical="center" wrapText="1"/>
    </xf>
    <xf numFmtId="0" fontId="64" fillId="25" borderId="31" xfId="140" applyFont="1" applyFill="1" applyBorder="1" applyAlignment="1">
      <alignment vertical="center" wrapText="1"/>
    </xf>
    <xf numFmtId="3" fontId="36" fillId="25" borderId="32" xfId="140" applyNumberFormat="1" applyFont="1" applyFill="1" applyBorder="1" applyAlignment="1">
      <alignment vertical="center" wrapText="1"/>
    </xf>
    <xf numFmtId="10" fontId="36" fillId="25" borderId="30" xfId="140" applyNumberFormat="1" applyFont="1" applyFill="1" applyBorder="1" applyAlignment="1">
      <alignment vertical="center" wrapText="1"/>
    </xf>
    <xf numFmtId="0" fontId="64" fillId="25" borderId="33" xfId="140" applyFont="1" applyFill="1" applyBorder="1" applyAlignment="1">
      <alignment vertical="center" wrapText="1"/>
    </xf>
    <xf numFmtId="0" fontId="36" fillId="25" borderId="34" xfId="140" applyFont="1" applyFill="1" applyBorder="1" applyAlignment="1">
      <alignment vertical="center" wrapText="1"/>
    </xf>
    <xf numFmtId="0" fontId="36" fillId="25" borderId="29" xfId="140" applyFont="1" applyFill="1" applyBorder="1" applyAlignment="1">
      <alignment vertical="center" wrapText="1"/>
    </xf>
    <xf numFmtId="0" fontId="64" fillId="25" borderId="30" xfId="140" applyFont="1" applyFill="1" applyBorder="1" applyAlignment="1">
      <alignment vertical="center" wrapText="1"/>
    </xf>
    <xf numFmtId="0" fontId="36" fillId="25" borderId="32" xfId="140" applyFont="1" applyFill="1" applyBorder="1" applyAlignment="1">
      <alignment vertical="center" wrapText="1"/>
    </xf>
    <xf numFmtId="0" fontId="36" fillId="25" borderId="30" xfId="140" applyFont="1" applyFill="1" applyBorder="1" applyAlignment="1">
      <alignment vertical="center" wrapText="1"/>
    </xf>
    <xf numFmtId="0" fontId="36" fillId="25" borderId="10" xfId="140" applyFont="1" applyFill="1" applyBorder="1" applyAlignment="1">
      <alignment horizontal="center" vertical="center" wrapText="1"/>
    </xf>
    <xf numFmtId="0" fontId="36" fillId="25" borderId="13" xfId="140" applyFont="1" applyFill="1" applyBorder="1" applyAlignment="1">
      <alignment horizontal="center" vertical="center" wrapText="1"/>
    </xf>
    <xf numFmtId="3" fontId="36" fillId="25" borderId="13" xfId="140" applyNumberFormat="1" applyFont="1" applyFill="1" applyBorder="1" applyAlignment="1">
      <alignment horizontal="center" vertical="center" wrapText="1"/>
    </xf>
    <xf numFmtId="0" fontId="64" fillId="25" borderId="10" xfId="140" applyFont="1" applyFill="1" applyBorder="1" applyAlignment="1">
      <alignment vertical="center" wrapText="1"/>
    </xf>
    <xf numFmtId="0" fontId="64" fillId="25" borderId="13" xfId="140" applyFont="1" applyFill="1" applyBorder="1" applyAlignment="1">
      <alignment vertical="center" wrapText="1"/>
    </xf>
    <xf numFmtId="0" fontId="36" fillId="25" borderId="11" xfId="140" applyFont="1" applyFill="1" applyBorder="1" applyAlignment="1">
      <alignment vertical="center" wrapText="1"/>
    </xf>
    <xf numFmtId="0" fontId="36" fillId="25" borderId="13" xfId="140" applyFont="1" applyFill="1" applyBorder="1" applyAlignment="1">
      <alignment vertical="center" wrapText="1"/>
    </xf>
    <xf numFmtId="0" fontId="36" fillId="25" borderId="12" xfId="140" applyFont="1" applyFill="1" applyBorder="1" applyAlignment="1">
      <alignment vertical="center" wrapText="1"/>
    </xf>
    <xf numFmtId="0" fontId="64" fillId="25" borderId="10" xfId="140" applyFont="1" applyFill="1" applyBorder="1" applyAlignment="1">
      <alignment horizontal="center" vertical="center" wrapText="1"/>
    </xf>
    <xf numFmtId="0" fontId="36" fillId="25" borderId="0" xfId="140" applyFont="1" applyFill="1" applyAlignment="1">
      <alignment horizontal="left" vertical="center" indent="2"/>
    </xf>
    <xf numFmtId="0" fontId="66" fillId="25" borderId="11" xfId="140" applyFont="1" applyFill="1" applyBorder="1" applyAlignment="1">
      <alignment horizontal="center" vertical="center" wrapText="1"/>
    </xf>
    <xf numFmtId="0" fontId="66" fillId="25" borderId="13" xfId="140" applyFont="1" applyFill="1" applyBorder="1" applyAlignment="1">
      <alignment horizontal="center" vertical="center" wrapText="1"/>
    </xf>
    <xf numFmtId="0" fontId="66" fillId="25" borderId="11" xfId="140" applyFont="1" applyFill="1" applyBorder="1" applyAlignment="1">
      <alignment horizontal="center" vertical="center"/>
    </xf>
    <xf numFmtId="0" fontId="66" fillId="25" borderId="13" xfId="140" applyFont="1" applyFill="1" applyBorder="1" applyAlignment="1">
      <alignment horizontal="center" vertical="center"/>
    </xf>
    <xf numFmtId="0" fontId="2" fillId="25" borderId="0" xfId="140" applyFill="1" applyAlignment="1">
      <alignment vertical="center" wrapText="1"/>
    </xf>
    <xf numFmtId="0" fontId="67" fillId="25" borderId="0" xfId="140" applyFont="1" applyFill="1" applyAlignment="1">
      <alignment vertical="center"/>
    </xf>
    <xf numFmtId="0" fontId="59" fillId="25" borderId="10" xfId="140" applyFont="1" applyFill="1" applyBorder="1" applyAlignment="1">
      <alignment vertical="center" wrapText="1"/>
    </xf>
    <xf numFmtId="0" fontId="58" fillId="25" borderId="11" xfId="140" applyFont="1" applyFill="1" applyBorder="1" applyAlignment="1">
      <alignment vertical="center"/>
    </xf>
    <xf numFmtId="0" fontId="58" fillId="25" borderId="13" xfId="140" applyFont="1" applyFill="1" applyBorder="1" applyAlignment="1">
      <alignment vertical="center" wrapText="1"/>
    </xf>
    <xf numFmtId="9" fontId="58" fillId="25" borderId="13" xfId="140" applyNumberFormat="1" applyFont="1" applyFill="1" applyBorder="1" applyAlignment="1">
      <alignment vertical="center" wrapText="1"/>
    </xf>
    <xf numFmtId="0" fontId="2" fillId="25" borderId="0" xfId="140" applyFill="1" applyAlignment="1">
      <alignment wrapText="1"/>
    </xf>
    <xf numFmtId="0" fontId="2" fillId="25" borderId="12" xfId="140" applyFill="1" applyBorder="1"/>
    <xf numFmtId="10" fontId="58" fillId="25" borderId="13" xfId="140" applyNumberFormat="1" applyFont="1" applyFill="1" applyBorder="1" applyAlignment="1">
      <alignment horizontal="right" vertical="center" wrapText="1"/>
    </xf>
    <xf numFmtId="9" fontId="58" fillId="25" borderId="13" xfId="140" applyNumberFormat="1" applyFont="1" applyFill="1" applyBorder="1" applyAlignment="1">
      <alignment horizontal="right" vertical="center" wrapText="1"/>
    </xf>
    <xf numFmtId="3" fontId="58" fillId="25" borderId="13" xfId="140" applyNumberFormat="1" applyFont="1" applyFill="1" applyBorder="1" applyAlignment="1">
      <alignment horizontal="right" vertical="center" wrapText="1"/>
    </xf>
    <xf numFmtId="0" fontId="36" fillId="25" borderId="0" xfId="140" applyFont="1" applyFill="1" applyAlignment="1">
      <alignment horizontal="left" vertical="center" indent="5"/>
    </xf>
    <xf numFmtId="0" fontId="65" fillId="25" borderId="0" xfId="140" applyFont="1" applyFill="1" applyAlignment="1">
      <alignment horizontal="left" vertical="center" indent="13"/>
    </xf>
    <xf numFmtId="0" fontId="36" fillId="25" borderId="0" xfId="140" applyFont="1" applyFill="1" applyAlignment="1">
      <alignment horizontal="left" vertical="center" indent="13"/>
    </xf>
    <xf numFmtId="0" fontId="59" fillId="25" borderId="10" xfId="140" applyFont="1" applyFill="1" applyBorder="1" applyAlignment="1">
      <alignment horizontal="right" vertical="center" wrapText="1"/>
    </xf>
    <xf numFmtId="3" fontId="58" fillId="25" borderId="13" xfId="140" applyNumberFormat="1" applyFont="1" applyFill="1" applyBorder="1" applyAlignment="1">
      <alignment horizontal="right" vertical="center"/>
    </xf>
    <xf numFmtId="0" fontId="65" fillId="25" borderId="0" xfId="140" applyFont="1" applyFill="1" applyAlignment="1">
      <alignment horizontal="left" vertical="center" indent="8"/>
    </xf>
    <xf numFmtId="0" fontId="36" fillId="25" borderId="0" xfId="140" applyFont="1" applyFill="1" applyAlignment="1">
      <alignment horizontal="left" vertical="center" indent="8"/>
    </xf>
    <xf numFmtId="0" fontId="58" fillId="25" borderId="12" xfId="140" applyFont="1" applyFill="1" applyBorder="1" applyAlignment="1">
      <alignment horizontal="center" vertical="center"/>
    </xf>
    <xf numFmtId="10" fontId="58" fillId="25" borderId="13" xfId="140" applyNumberFormat="1" applyFont="1" applyFill="1" applyBorder="1" applyAlignment="1">
      <alignment horizontal="center" vertical="center"/>
    </xf>
    <xf numFmtId="0" fontId="36" fillId="25" borderId="0" xfId="140" applyFont="1" applyFill="1" applyAlignment="1">
      <alignment horizontal="left" vertical="center" indent="10"/>
    </xf>
    <xf numFmtId="3" fontId="36" fillId="25" borderId="13" xfId="140" applyNumberFormat="1" applyFont="1" applyFill="1" applyBorder="1" applyAlignment="1">
      <alignment horizontal="right" vertical="center"/>
    </xf>
    <xf numFmtId="0" fontId="65" fillId="25" borderId="0" xfId="140" applyFont="1" applyFill="1" applyAlignment="1">
      <alignment horizontal="left" vertical="center" indent="10"/>
    </xf>
    <xf numFmtId="0" fontId="36" fillId="25" borderId="36" xfId="140" applyFont="1" applyFill="1" applyBorder="1" applyAlignment="1">
      <alignment horizontal="center" vertical="center" wrapText="1"/>
    </xf>
    <xf numFmtId="0" fontId="36" fillId="25" borderId="36" xfId="140" applyFont="1" applyFill="1" applyBorder="1" applyAlignment="1">
      <alignment horizontal="center" vertical="center"/>
    </xf>
    <xf numFmtId="0" fontId="36" fillId="25" borderId="11" xfId="140" applyFont="1" applyFill="1" applyBorder="1" applyAlignment="1">
      <alignment horizontal="center" vertical="center"/>
    </xf>
    <xf numFmtId="0" fontId="36" fillId="25" borderId="13" xfId="140" applyFont="1" applyFill="1" applyBorder="1" applyAlignment="1">
      <alignment horizontal="center" vertical="center"/>
    </xf>
    <xf numFmtId="3" fontId="36" fillId="25" borderId="13" xfId="140" applyNumberFormat="1" applyFont="1" applyFill="1" applyBorder="1" applyAlignment="1">
      <alignment horizontal="center" vertical="center"/>
    </xf>
    <xf numFmtId="0" fontId="68" fillId="25" borderId="11" xfId="140" applyFont="1" applyFill="1" applyBorder="1" applyAlignment="1">
      <alignment horizontal="center" vertical="top"/>
    </xf>
    <xf numFmtId="0" fontId="68" fillId="25" borderId="13" xfId="140" applyFont="1" applyFill="1" applyBorder="1" applyAlignment="1">
      <alignment horizontal="center" vertical="top" wrapText="1"/>
    </xf>
    <xf numFmtId="0" fontId="68" fillId="25" borderId="13" xfId="140" applyFont="1" applyFill="1" applyBorder="1" applyAlignment="1">
      <alignment horizontal="center" vertical="top"/>
    </xf>
    <xf numFmtId="0" fontId="64" fillId="25" borderId="11" xfId="140" applyFont="1" applyFill="1" applyBorder="1" applyAlignment="1">
      <alignment horizontal="center" vertical="center"/>
    </xf>
    <xf numFmtId="3" fontId="64" fillId="25" borderId="13" xfId="140" applyNumberFormat="1" applyFont="1" applyFill="1" applyBorder="1" applyAlignment="1">
      <alignment horizontal="center" vertical="center" wrapText="1"/>
    </xf>
    <xf numFmtId="3" fontId="64" fillId="25" borderId="13" xfId="140" applyNumberFormat="1" applyFont="1" applyFill="1" applyBorder="1" applyAlignment="1">
      <alignment horizontal="center" vertical="center"/>
    </xf>
    <xf numFmtId="9" fontId="36" fillId="25" borderId="10" xfId="140" applyNumberFormat="1" applyFont="1" applyFill="1" applyBorder="1" applyAlignment="1">
      <alignment horizontal="right" vertical="center" wrapText="1"/>
    </xf>
    <xf numFmtId="14" fontId="64" fillId="25" borderId="12" xfId="140" applyNumberFormat="1" applyFont="1" applyFill="1" applyBorder="1" applyAlignment="1">
      <alignment vertical="center" wrapText="1"/>
    </xf>
    <xf numFmtId="14" fontId="64" fillId="25" borderId="11" xfId="140" applyNumberFormat="1" applyFont="1" applyFill="1" applyBorder="1" applyAlignment="1">
      <alignment vertical="center" wrapText="1"/>
    </xf>
    <xf numFmtId="3" fontId="36" fillId="25" borderId="13" xfId="140" applyNumberFormat="1" applyFont="1" applyFill="1" applyBorder="1" applyAlignment="1">
      <alignment horizontal="right" vertical="center" wrapText="1"/>
    </xf>
    <xf numFmtId="9" fontId="36" fillId="25" borderId="10" xfId="140" applyNumberFormat="1" applyFont="1" applyFill="1" applyBorder="1" applyAlignment="1">
      <alignment horizontal="right" vertical="center"/>
    </xf>
    <xf numFmtId="0" fontId="36" fillId="25" borderId="13" xfId="140" applyFont="1" applyFill="1" applyBorder="1" applyAlignment="1">
      <alignment horizontal="right" vertical="center"/>
    </xf>
    <xf numFmtId="9" fontId="36" fillId="25" borderId="13" xfId="140" applyNumberFormat="1" applyFont="1" applyFill="1" applyBorder="1" applyAlignment="1">
      <alignment horizontal="right" vertical="center"/>
    </xf>
    <xf numFmtId="0" fontId="36" fillId="25" borderId="10" xfId="140" applyFont="1" applyFill="1" applyBorder="1" applyAlignment="1">
      <alignment vertical="center" wrapText="1"/>
    </xf>
    <xf numFmtId="0" fontId="36" fillId="25" borderId="14" xfId="140" applyFont="1" applyFill="1" applyBorder="1" applyAlignment="1">
      <alignment vertical="center" wrapText="1"/>
    </xf>
    <xf numFmtId="0" fontId="36" fillId="25" borderId="12" xfId="140" applyFont="1" applyFill="1" applyBorder="1" applyAlignment="1">
      <alignment horizontal="right" vertical="center"/>
    </xf>
    <xf numFmtId="0" fontId="36" fillId="25" borderId="10" xfId="140" applyFont="1" applyFill="1" applyBorder="1" applyAlignment="1">
      <alignment horizontal="right" vertical="center"/>
    </xf>
    <xf numFmtId="0" fontId="36" fillId="25" borderId="11" xfId="140" applyFont="1" applyFill="1" applyBorder="1" applyAlignment="1">
      <alignment horizontal="right" vertical="center"/>
    </xf>
    <xf numFmtId="0" fontId="69" fillId="25" borderId="12" xfId="140" applyFont="1" applyFill="1" applyBorder="1" applyAlignment="1">
      <alignment vertical="top"/>
    </xf>
    <xf numFmtId="0" fontId="36" fillId="25" borderId="11" xfId="140" applyFont="1" applyFill="1" applyBorder="1" applyAlignment="1">
      <alignment vertical="center"/>
    </xf>
    <xf numFmtId="0" fontId="36" fillId="25" borderId="28" xfId="140" applyFont="1" applyFill="1" applyBorder="1" applyAlignment="1">
      <alignment horizontal="center" vertical="center"/>
    </xf>
    <xf numFmtId="0" fontId="2" fillId="25" borderId="28" xfId="140" applyFill="1" applyBorder="1" applyAlignment="1">
      <alignment vertical="center"/>
    </xf>
    <xf numFmtId="0" fontId="64" fillId="25" borderId="10" xfId="140" applyFont="1" applyFill="1" applyBorder="1" applyAlignment="1">
      <alignment horizontal="center" vertical="center"/>
    </xf>
    <xf numFmtId="0" fontId="64" fillId="25" borderId="12" xfId="140" applyFont="1" applyFill="1" applyBorder="1" applyAlignment="1">
      <alignment horizontal="center" vertical="center" wrapText="1"/>
    </xf>
    <xf numFmtId="0" fontId="64" fillId="25" borderId="13" xfId="140" applyFont="1" applyFill="1" applyBorder="1" applyAlignment="1">
      <alignment horizontal="center" vertical="center" wrapText="1"/>
    </xf>
    <xf numFmtId="0" fontId="36" fillId="25" borderId="0" xfId="140" applyFont="1" applyFill="1" applyAlignment="1">
      <alignment horizontal="center" vertical="center"/>
    </xf>
    <xf numFmtId="3" fontId="36" fillId="25" borderId="0" xfId="140" applyNumberFormat="1" applyFont="1" applyFill="1" applyAlignment="1">
      <alignment horizontal="center" vertical="center"/>
    </xf>
    <xf numFmtId="0" fontId="2" fillId="25" borderId="37" xfId="140" applyFill="1" applyBorder="1"/>
    <xf numFmtId="0" fontId="2" fillId="25" borderId="13" xfId="140" applyFill="1" applyBorder="1"/>
    <xf numFmtId="0" fontId="36" fillId="25" borderId="12" xfId="140" applyFont="1" applyFill="1" applyBorder="1" applyAlignment="1">
      <alignment vertical="center"/>
    </xf>
    <xf numFmtId="0" fontId="70" fillId="0" borderId="0" xfId="142"/>
    <xf numFmtId="0" fontId="10" fillId="0" borderId="0" xfId="142" applyFont="1"/>
    <xf numFmtId="0" fontId="71" fillId="0" borderId="38" xfId="142" applyFont="1" applyBorder="1" applyAlignment="1">
      <alignment vertical="center" wrapText="1"/>
    </xf>
    <xf numFmtId="10" fontId="72" fillId="0" borderId="39" xfId="142" applyNumberFormat="1" applyFont="1" applyBorder="1" applyAlignment="1">
      <alignment vertical="center" wrapText="1"/>
    </xf>
    <xf numFmtId="9" fontId="72" fillId="0" borderId="39" xfId="142" applyNumberFormat="1" applyFont="1" applyBorder="1" applyAlignment="1">
      <alignment horizontal="right" vertical="center"/>
    </xf>
    <xf numFmtId="0" fontId="71" fillId="26" borderId="35" xfId="142" applyFont="1" applyFill="1" applyBorder="1" applyAlignment="1">
      <alignment vertical="center" wrapText="1"/>
    </xf>
    <xf numFmtId="0" fontId="71" fillId="0" borderId="40" xfId="142" applyFont="1" applyBorder="1" applyAlignment="1">
      <alignment vertical="center"/>
    </xf>
    <xf numFmtId="9" fontId="72" fillId="0" borderId="41" xfId="142" applyNumberFormat="1" applyFont="1" applyBorder="1" applyAlignment="1">
      <alignment vertical="center"/>
    </xf>
    <xf numFmtId="9" fontId="72" fillId="0" borderId="41" xfId="142" applyNumberFormat="1" applyFont="1" applyBorder="1" applyAlignment="1">
      <alignment horizontal="right" vertical="center"/>
    </xf>
    <xf numFmtId="0" fontId="72" fillId="26" borderId="0" xfId="142" applyFont="1" applyFill="1" applyAlignment="1">
      <alignment vertical="center"/>
    </xf>
    <xf numFmtId="9" fontId="72" fillId="26" borderId="0" xfId="142" applyNumberFormat="1" applyFont="1" applyFill="1" applyAlignment="1">
      <alignment vertical="center"/>
    </xf>
    <xf numFmtId="3" fontId="72" fillId="0" borderId="41" xfId="142" applyNumberFormat="1" applyFont="1" applyBorder="1" applyAlignment="1">
      <alignment vertical="center"/>
    </xf>
    <xf numFmtId="6" fontId="72" fillId="0" borderId="41" xfId="142" applyNumberFormat="1" applyFont="1" applyBorder="1" applyAlignment="1">
      <alignment horizontal="center" vertical="center"/>
    </xf>
    <xf numFmtId="0" fontId="72" fillId="26" borderId="42" xfId="142" applyFont="1" applyFill="1" applyBorder="1" applyAlignment="1">
      <alignment vertical="center"/>
    </xf>
    <xf numFmtId="9" fontId="72" fillId="26" borderId="42" xfId="142" applyNumberFormat="1" applyFont="1" applyFill="1" applyBorder="1" applyAlignment="1">
      <alignment vertical="center"/>
    </xf>
    <xf numFmtId="0" fontId="71" fillId="0" borderId="0" xfId="142" applyFont="1" applyAlignment="1">
      <alignment vertical="center"/>
    </xf>
    <xf numFmtId="9" fontId="70" fillId="0" borderId="0" xfId="142" quotePrefix="1" applyNumberFormat="1" applyAlignment="1">
      <alignment vertical="center"/>
    </xf>
    <xf numFmtId="9" fontId="70" fillId="0" borderId="0" xfId="142" applyNumberFormat="1" applyAlignment="1">
      <alignment vertical="center"/>
    </xf>
    <xf numFmtId="9" fontId="70" fillId="0" borderId="0" xfId="142" applyNumberFormat="1"/>
    <xf numFmtId="165" fontId="70" fillId="0" borderId="0" xfId="142" quotePrefix="1" applyNumberFormat="1"/>
    <xf numFmtId="0" fontId="70" fillId="0" borderId="0" xfId="142" quotePrefix="1"/>
    <xf numFmtId="9" fontId="70" fillId="0" borderId="0" xfId="142" applyNumberFormat="1" applyAlignment="1">
      <alignment horizontal="center" vertical="center"/>
    </xf>
    <xf numFmtId="44" fontId="0" fillId="0" borderId="0" xfId="111" applyFont="1" applyAlignment="1">
      <alignment horizontal="center" vertical="center"/>
    </xf>
    <xf numFmtId="43" fontId="0" fillId="27" borderId="0" xfId="107" applyFont="1" applyFill="1"/>
    <xf numFmtId="10" fontId="36" fillId="25" borderId="13" xfId="140" applyNumberFormat="1" applyFont="1" applyFill="1" applyBorder="1" applyAlignment="1">
      <alignment horizontal="center" vertical="center" wrapText="1"/>
    </xf>
    <xf numFmtId="0" fontId="36" fillId="0" borderId="0" xfId="140" applyFont="1" applyAlignment="1">
      <alignment vertical="center" wrapText="1"/>
    </xf>
    <xf numFmtId="0" fontId="36" fillId="25" borderId="0" xfId="140" applyFont="1" applyFill="1" applyAlignment="1">
      <alignment horizontal="left" vertical="center"/>
    </xf>
    <xf numFmtId="0" fontId="36" fillId="25" borderId="12" xfId="140" applyFont="1" applyFill="1" applyBorder="1" applyAlignment="1">
      <alignment horizontal="center" vertical="center" wrapText="1"/>
    </xf>
    <xf numFmtId="0" fontId="64" fillId="25" borderId="11" xfId="140" applyFont="1" applyFill="1" applyBorder="1" applyAlignment="1">
      <alignment horizontal="center" vertical="center" wrapText="1"/>
    </xf>
    <xf numFmtId="0" fontId="36" fillId="0" borderId="0" xfId="140" applyFont="1" applyAlignment="1">
      <alignment horizontal="left" vertical="center"/>
    </xf>
    <xf numFmtId="0" fontId="36" fillId="25" borderId="0" xfId="140" applyFont="1" applyFill="1" applyAlignment="1">
      <alignment horizontal="left" vertical="center" indent="3"/>
    </xf>
    <xf numFmtId="0" fontId="36" fillId="0" borderId="0" xfId="140" applyFont="1" applyAlignment="1">
      <alignment horizontal="left" vertical="center" indent="4"/>
    </xf>
    <xf numFmtId="0" fontId="73" fillId="25" borderId="0" xfId="140" applyFont="1" applyFill="1" applyAlignment="1">
      <alignment vertical="center" wrapText="1"/>
    </xf>
    <xf numFmtId="3" fontId="36" fillId="25" borderId="13" xfId="140" applyNumberFormat="1" applyFont="1" applyFill="1" applyBorder="1" applyAlignment="1">
      <alignment horizontal="left" vertical="center" wrapText="1"/>
    </xf>
    <xf numFmtId="9" fontId="36" fillId="25" borderId="13" xfId="140" applyNumberFormat="1" applyFont="1" applyFill="1" applyBorder="1" applyAlignment="1">
      <alignment horizontal="left" vertical="center" wrapText="1"/>
    </xf>
    <xf numFmtId="0" fontId="36" fillId="25" borderId="13" xfId="140" applyFont="1" applyFill="1" applyBorder="1" applyAlignment="1">
      <alignment horizontal="left" vertical="center" wrapText="1"/>
    </xf>
    <xf numFmtId="10" fontId="36" fillId="25" borderId="13" xfId="140" applyNumberFormat="1" applyFont="1" applyFill="1" applyBorder="1" applyAlignment="1">
      <alignment horizontal="left" vertical="center" wrapText="1"/>
    </xf>
    <xf numFmtId="0" fontId="73" fillId="25" borderId="37" xfId="140" applyFont="1" applyFill="1" applyBorder="1" applyAlignment="1">
      <alignment vertical="center" wrapText="1"/>
    </xf>
    <xf numFmtId="0" fontId="64" fillId="25" borderId="0" xfId="140" applyFont="1" applyFill="1" applyAlignment="1">
      <alignment vertical="center"/>
    </xf>
    <xf numFmtId="0" fontId="64" fillId="25" borderId="0" xfId="140" applyFont="1" applyFill="1" applyAlignment="1">
      <alignment horizontal="left" vertical="center" indent="4"/>
    </xf>
    <xf numFmtId="0" fontId="64" fillId="25" borderId="12" xfId="140" applyFont="1" applyFill="1" applyBorder="1" applyAlignment="1">
      <alignment horizontal="center" vertical="center"/>
    </xf>
    <xf numFmtId="0" fontId="64" fillId="25" borderId="10" xfId="140" applyFont="1" applyFill="1" applyBorder="1" applyAlignment="1">
      <alignment vertical="center"/>
    </xf>
    <xf numFmtId="0" fontId="64" fillId="25" borderId="0" xfId="140" applyFont="1" applyFill="1" applyAlignment="1">
      <alignment horizontal="left" vertical="center" indent="2"/>
    </xf>
    <xf numFmtId="0" fontId="35" fillId="25" borderId="0" xfId="140" applyFont="1" applyFill="1"/>
    <xf numFmtId="0" fontId="36" fillId="25" borderId="0" xfId="140" applyFont="1" applyFill="1" applyAlignment="1">
      <alignment horizontal="left" vertical="center" indent="7"/>
    </xf>
    <xf numFmtId="3" fontId="36" fillId="25" borderId="0" xfId="140" applyNumberFormat="1" applyFont="1" applyFill="1" applyAlignment="1">
      <alignment horizontal="left" vertical="center" indent="7"/>
    </xf>
    <xf numFmtId="0" fontId="36" fillId="25" borderId="0" xfId="140" applyFont="1" applyFill="1" applyAlignment="1">
      <alignment horizontal="right" vertical="center"/>
    </xf>
    <xf numFmtId="0" fontId="35" fillId="25" borderId="0" xfId="140" applyFont="1" applyFill="1" applyAlignment="1">
      <alignment horizontal="right"/>
    </xf>
    <xf numFmtId="10" fontId="36" fillId="25" borderId="0" xfId="140" applyNumberFormat="1" applyFont="1" applyFill="1" applyAlignment="1">
      <alignment vertical="center"/>
    </xf>
    <xf numFmtId="0" fontId="59" fillId="25" borderId="43" xfId="140" applyFont="1" applyFill="1" applyBorder="1" applyAlignment="1">
      <alignment vertical="center"/>
    </xf>
    <xf numFmtId="0" fontId="59" fillId="25" borderId="46" xfId="140" applyFont="1" applyFill="1" applyBorder="1" applyAlignment="1">
      <alignment horizontal="center" vertical="center" wrapText="1"/>
    </xf>
    <xf numFmtId="0" fontId="59" fillId="25" borderId="13" xfId="140" applyFont="1" applyFill="1" applyBorder="1" applyAlignment="1">
      <alignment horizontal="center" vertical="center" wrapText="1"/>
    </xf>
    <xf numFmtId="0" fontId="59" fillId="25" borderId="47" xfId="140" applyFont="1" applyFill="1" applyBorder="1" applyAlignment="1">
      <alignment horizontal="center" vertical="center" wrapText="1"/>
    </xf>
    <xf numFmtId="2" fontId="58" fillId="25" borderId="13" xfId="140" applyNumberFormat="1" applyFont="1" applyFill="1" applyBorder="1" applyAlignment="1">
      <alignment horizontal="center" vertical="center" wrapText="1"/>
    </xf>
    <xf numFmtId="0" fontId="58" fillId="25" borderId="47" xfId="140" applyFont="1" applyFill="1" applyBorder="1" applyAlignment="1">
      <alignment horizontal="center" vertical="center" wrapText="1"/>
    </xf>
    <xf numFmtId="0" fontId="59" fillId="25" borderId="48" xfId="140" applyFont="1" applyFill="1" applyBorder="1" applyAlignment="1">
      <alignment horizontal="center" vertical="center" wrapText="1"/>
    </xf>
    <xf numFmtId="2" fontId="58" fillId="25" borderId="49" xfId="140" applyNumberFormat="1" applyFont="1" applyFill="1" applyBorder="1" applyAlignment="1">
      <alignment horizontal="center" vertical="center" wrapText="1"/>
    </xf>
    <xf numFmtId="0" fontId="58" fillId="25" borderId="50" xfId="140" applyFont="1" applyFill="1" applyBorder="1" applyAlignment="1">
      <alignment horizontal="center" vertical="center" wrapText="1"/>
    </xf>
    <xf numFmtId="0" fontId="58" fillId="25" borderId="49" xfId="140" applyFont="1" applyFill="1" applyBorder="1" applyAlignment="1">
      <alignment horizontal="center" vertical="center" wrapText="1"/>
    </xf>
    <xf numFmtId="0" fontId="36" fillId="0" borderId="0" xfId="140" applyFont="1" applyAlignment="1">
      <alignment horizontal="left" vertical="center" indent="3"/>
    </xf>
    <xf numFmtId="0" fontId="50" fillId="25" borderId="0" xfId="140" applyFont="1" applyFill="1"/>
    <xf numFmtId="0" fontId="51" fillId="25" borderId="0" xfId="140" applyFont="1" applyFill="1"/>
    <xf numFmtId="0" fontId="52" fillId="25" borderId="0" xfId="140" applyFont="1" applyFill="1"/>
    <xf numFmtId="0" fontId="75" fillId="25" borderId="0" xfId="140" applyFont="1" applyFill="1"/>
    <xf numFmtId="0" fontId="76" fillId="25" borderId="0" xfId="140" applyFont="1" applyFill="1" applyAlignment="1">
      <alignment vertical="center"/>
    </xf>
    <xf numFmtId="0" fontId="76" fillId="25" borderId="12" xfId="140" applyFont="1" applyFill="1" applyBorder="1" applyAlignment="1">
      <alignment vertical="center" wrapText="1"/>
    </xf>
    <xf numFmtId="0" fontId="76" fillId="25" borderId="10" xfId="140" applyFont="1" applyFill="1" applyBorder="1" applyAlignment="1">
      <alignment horizontal="right" vertical="center" wrapText="1"/>
    </xf>
    <xf numFmtId="0" fontId="76" fillId="25" borderId="11" xfId="140" applyFont="1" applyFill="1" applyBorder="1" applyAlignment="1">
      <alignment vertical="center" wrapText="1"/>
    </xf>
    <xf numFmtId="0" fontId="76" fillId="25" borderId="13" xfId="140" applyFont="1" applyFill="1" applyBorder="1" applyAlignment="1">
      <alignment horizontal="right" vertical="center" wrapText="1"/>
    </xf>
    <xf numFmtId="0" fontId="76" fillId="25" borderId="0" xfId="140" applyFont="1" applyFill="1" applyAlignment="1">
      <alignment horizontal="left" vertical="center"/>
    </xf>
    <xf numFmtId="0" fontId="51" fillId="0" borderId="0" xfId="140" applyFont="1"/>
    <xf numFmtId="0" fontId="79" fillId="0" borderId="0" xfId="140" applyFont="1"/>
    <xf numFmtId="0" fontId="80" fillId="0" borderId="0" xfId="84" applyFont="1"/>
    <xf numFmtId="0" fontId="78" fillId="0" borderId="0" xfId="140" applyFont="1" applyAlignment="1">
      <alignment vertical="top"/>
    </xf>
    <xf numFmtId="0" fontId="78" fillId="0" borderId="0" xfId="140" applyFont="1" applyAlignment="1">
      <alignment horizontal="left" vertical="center" indent="5"/>
    </xf>
    <xf numFmtId="0" fontId="80" fillId="0" borderId="51" xfId="84" applyFont="1" applyBorder="1"/>
    <xf numFmtId="0" fontId="80" fillId="0" borderId="51" xfId="84" applyFont="1" applyBorder="1" applyAlignment="1">
      <alignment wrapText="1"/>
    </xf>
    <xf numFmtId="0" fontId="81" fillId="0" borderId="0" xfId="84" applyFont="1" applyAlignment="1">
      <alignment vertical="center" wrapText="1"/>
    </xf>
    <xf numFmtId="3" fontId="80" fillId="0" borderId="51" xfId="84" applyNumberFormat="1" applyFont="1" applyBorder="1"/>
    <xf numFmtId="3" fontId="81" fillId="0" borderId="0" xfId="84" applyNumberFormat="1" applyFont="1" applyAlignment="1">
      <alignment horizontal="right" vertical="center" wrapText="1"/>
    </xf>
    <xf numFmtId="166" fontId="81" fillId="0" borderId="0" xfId="84" applyNumberFormat="1" applyFont="1" applyAlignment="1">
      <alignment horizontal="right" vertical="center" wrapText="1"/>
    </xf>
    <xf numFmtId="0" fontId="75" fillId="0" borderId="0" xfId="140" applyFont="1"/>
    <xf numFmtId="0" fontId="82" fillId="0" borderId="0" xfId="140" applyFont="1"/>
    <xf numFmtId="0" fontId="78" fillId="0" borderId="0" xfId="140" applyFont="1"/>
    <xf numFmtId="10" fontId="80" fillId="0" borderId="0" xfId="128" applyNumberFormat="1" applyFont="1"/>
    <xf numFmtId="0" fontId="80" fillId="0" borderId="0" xfId="84" applyFont="1" applyAlignment="1">
      <alignment horizontal="center"/>
    </xf>
    <xf numFmtId="0" fontId="80" fillId="0" borderId="0" xfId="84" applyFont="1" applyAlignment="1">
      <alignment wrapText="1"/>
    </xf>
    <xf numFmtId="43" fontId="80" fillId="0" borderId="0" xfId="84" applyNumberFormat="1" applyFont="1"/>
    <xf numFmtId="167" fontId="80" fillId="0" borderId="0" xfId="135" applyNumberFormat="1" applyFont="1"/>
    <xf numFmtId="167" fontId="80" fillId="0" borderId="0" xfId="135" applyNumberFormat="1" applyFont="1" applyFill="1"/>
    <xf numFmtId="168" fontId="80" fillId="0" borderId="0" xfId="128" applyNumberFormat="1" applyFont="1"/>
    <xf numFmtId="8" fontId="80" fillId="0" borderId="0" xfId="84" applyNumberFormat="1" applyFont="1"/>
    <xf numFmtId="43" fontId="80" fillId="0" borderId="0" xfId="135" applyFont="1"/>
    <xf numFmtId="3" fontId="80" fillId="0" borderId="0" xfId="84" applyNumberFormat="1" applyFont="1"/>
    <xf numFmtId="167" fontId="83" fillId="0" borderId="0" xfId="135" applyNumberFormat="1" applyFont="1"/>
    <xf numFmtId="3" fontId="83" fillId="0" borderId="0" xfId="84" applyNumberFormat="1" applyFont="1"/>
    <xf numFmtId="0" fontId="84" fillId="0" borderId="0" xfId="84" applyFont="1"/>
    <xf numFmtId="0" fontId="83" fillId="0" borderId="0" xfId="84" applyFont="1" applyAlignment="1">
      <alignment wrapText="1"/>
    </xf>
    <xf numFmtId="167" fontId="80" fillId="0" borderId="0" xfId="84" applyNumberFormat="1" applyFont="1"/>
    <xf numFmtId="10" fontId="84" fillId="0" borderId="0" xfId="128" applyNumberFormat="1" applyFont="1"/>
    <xf numFmtId="0" fontId="80" fillId="0" borderId="51" xfId="84" applyFont="1" applyBorder="1" applyAlignment="1">
      <alignment horizontal="center" vertical="center"/>
    </xf>
    <xf numFmtId="0" fontId="85" fillId="0" borderId="0" xfId="84" applyFont="1"/>
    <xf numFmtId="0" fontId="80" fillId="0" borderId="0" xfId="84" applyFont="1" applyAlignment="1">
      <alignment horizontal="right" vertical="center"/>
    </xf>
    <xf numFmtId="167" fontId="80" fillId="0" borderId="51" xfId="84" applyNumberFormat="1" applyFont="1" applyBorder="1"/>
    <xf numFmtId="0" fontId="85" fillId="0" borderId="0" xfId="84" applyFont="1" applyAlignment="1">
      <alignment horizontal="center" vertical="center"/>
    </xf>
    <xf numFmtId="167" fontId="80" fillId="0" borderId="51" xfId="135" applyNumberFormat="1" applyFont="1" applyBorder="1"/>
    <xf numFmtId="0" fontId="86" fillId="25" borderId="12" xfId="140" applyFont="1" applyFill="1" applyBorder="1" applyAlignment="1">
      <alignment horizontal="center" vertical="center" wrapText="1"/>
    </xf>
    <xf numFmtId="0" fontId="86" fillId="25" borderId="10" xfId="140" applyFont="1" applyFill="1" applyBorder="1" applyAlignment="1">
      <alignment horizontal="center" vertical="center" wrapText="1"/>
    </xf>
    <xf numFmtId="0" fontId="86" fillId="25" borderId="11" xfId="140" applyFont="1" applyFill="1" applyBorder="1" applyAlignment="1">
      <alignment horizontal="center" vertical="center" wrapText="1"/>
    </xf>
    <xf numFmtId="3" fontId="76" fillId="25" borderId="13" xfId="140" applyNumberFormat="1" applyFont="1" applyFill="1" applyBorder="1" applyAlignment="1">
      <alignment horizontal="center" vertical="center" wrapText="1"/>
    </xf>
    <xf numFmtId="0" fontId="87" fillId="25" borderId="0" xfId="140" applyFont="1" applyFill="1" applyAlignment="1">
      <alignment horizontal="left" vertical="center" indent="7"/>
    </xf>
    <xf numFmtId="0" fontId="76" fillId="25" borderId="0" xfId="140" applyFont="1" applyFill="1" applyAlignment="1">
      <alignment horizontal="left" vertical="center" indent="4"/>
    </xf>
    <xf numFmtId="0" fontId="76" fillId="25" borderId="0" xfId="140" applyFont="1" applyFill="1" applyAlignment="1">
      <alignment horizontal="left" vertical="center" indent="3"/>
    </xf>
    <xf numFmtId="0" fontId="76" fillId="25" borderId="0" xfId="140" applyFont="1" applyFill="1" applyAlignment="1">
      <alignment horizontal="left" vertical="center" indent="6"/>
    </xf>
    <xf numFmtId="0" fontId="76" fillId="0" borderId="0" xfId="140" applyFont="1" applyAlignment="1">
      <alignment horizontal="left" vertical="center"/>
    </xf>
    <xf numFmtId="0" fontId="88" fillId="28" borderId="0" xfId="86" applyFont="1" applyFill="1"/>
    <xf numFmtId="0" fontId="89" fillId="28" borderId="0" xfId="86" applyFont="1" applyFill="1"/>
    <xf numFmtId="0" fontId="89" fillId="28" borderId="0" xfId="86" applyFont="1" applyFill="1" applyAlignment="1">
      <alignment horizontal="center"/>
    </xf>
    <xf numFmtId="165" fontId="89" fillId="28" borderId="0" xfId="86" applyNumberFormat="1" applyFont="1" applyFill="1" applyAlignment="1">
      <alignment horizontal="left"/>
    </xf>
    <xf numFmtId="0" fontId="89" fillId="28" borderId="25" xfId="86" applyFont="1" applyFill="1" applyBorder="1" applyAlignment="1">
      <alignment horizontal="center"/>
    </xf>
    <xf numFmtId="0" fontId="89" fillId="28" borderId="25" xfId="86" applyFont="1" applyFill="1" applyBorder="1" applyAlignment="1">
      <alignment horizontal="left"/>
    </xf>
    <xf numFmtId="0" fontId="89" fillId="28" borderId="25" xfId="86" applyFont="1" applyFill="1" applyBorder="1"/>
    <xf numFmtId="3" fontId="89" fillId="28" borderId="0" xfId="86" applyNumberFormat="1" applyFont="1" applyFill="1"/>
    <xf numFmtId="43" fontId="89" fillId="28" borderId="0" xfId="107" applyFont="1" applyFill="1"/>
    <xf numFmtId="43" fontId="89" fillId="29" borderId="0" xfId="107" applyFont="1" applyFill="1"/>
    <xf numFmtId="2" fontId="89" fillId="28" borderId="0" xfId="86" applyNumberFormat="1" applyFont="1" applyFill="1"/>
    <xf numFmtId="43" fontId="88" fillId="29" borderId="0" xfId="86" applyNumberFormat="1" applyFont="1" applyFill="1"/>
    <xf numFmtId="4" fontId="89" fillId="28" borderId="0" xfId="86" applyNumberFormat="1" applyFont="1" applyFill="1"/>
    <xf numFmtId="4" fontId="88" fillId="28" borderId="0" xfId="86" applyNumberFormat="1" applyFont="1" applyFill="1"/>
    <xf numFmtId="4" fontId="88" fillId="29" borderId="0" xfId="86" applyNumberFormat="1" applyFont="1" applyFill="1"/>
    <xf numFmtId="0" fontId="89" fillId="28" borderId="18" xfId="86" applyFont="1" applyFill="1" applyBorder="1"/>
    <xf numFmtId="4" fontId="89" fillId="28" borderId="18" xfId="86" applyNumberFormat="1" applyFont="1" applyFill="1" applyBorder="1"/>
    <xf numFmtId="0" fontId="88" fillId="28" borderId="25" xfId="86" applyFont="1" applyFill="1" applyBorder="1"/>
    <xf numFmtId="4" fontId="88" fillId="28" borderId="25" xfId="86" applyNumberFormat="1" applyFont="1" applyFill="1" applyBorder="1"/>
    <xf numFmtId="4" fontId="88" fillId="29" borderId="25" xfId="86" applyNumberFormat="1" applyFont="1" applyFill="1" applyBorder="1"/>
    <xf numFmtId="43" fontId="88" fillId="28" borderId="0" xfId="86" applyNumberFormat="1" applyFont="1" applyFill="1"/>
    <xf numFmtId="2" fontId="88" fillId="29" borderId="25" xfId="86" applyNumberFormat="1" applyFont="1" applyFill="1" applyBorder="1"/>
    <xf numFmtId="0" fontId="78" fillId="25" borderId="0" xfId="140" applyFont="1" applyFill="1" applyAlignment="1">
      <alignment vertical="center"/>
    </xf>
    <xf numFmtId="0" fontId="86" fillId="25" borderId="12" xfId="140" applyFont="1" applyFill="1" applyBorder="1" applyAlignment="1">
      <alignment horizontal="justify" vertical="center" wrapText="1"/>
    </xf>
    <xf numFmtId="0" fontId="86" fillId="25" borderId="11" xfId="140" applyFont="1" applyFill="1" applyBorder="1" applyAlignment="1">
      <alignment vertical="center" wrapText="1"/>
    </xf>
    <xf numFmtId="0" fontId="76" fillId="25" borderId="0" xfId="140" applyFont="1" applyFill="1" applyAlignment="1">
      <alignment horizontal="left" vertical="center" indent="14"/>
    </xf>
    <xf numFmtId="0" fontId="76" fillId="25" borderId="0" xfId="140" applyFont="1" applyFill="1" applyAlignment="1">
      <alignment horizontal="left" vertical="center" indent="9"/>
    </xf>
    <xf numFmtId="0" fontId="76" fillId="0" borderId="0" xfId="140" applyFont="1"/>
    <xf numFmtId="0" fontId="76" fillId="0" borderId="0" xfId="140" applyFont="1" applyAlignment="1">
      <alignment horizontal="left" vertical="center" indent="4"/>
    </xf>
    <xf numFmtId="0" fontId="76" fillId="0" borderId="0" xfId="140" applyFont="1" applyAlignment="1">
      <alignment horizontal="left" vertical="center" indent="9"/>
    </xf>
    <xf numFmtId="0" fontId="76" fillId="0" borderId="0" xfId="140" applyFont="1" applyAlignment="1">
      <alignment horizontal="left" vertical="center" indent="1"/>
    </xf>
    <xf numFmtId="0" fontId="76" fillId="0" borderId="0" xfId="140" applyFont="1" applyAlignment="1">
      <alignment vertical="center"/>
    </xf>
    <xf numFmtId="0" fontId="76" fillId="25" borderId="0" xfId="140" applyFont="1" applyFill="1" applyAlignment="1">
      <alignment horizontal="left" vertical="center" indent="5"/>
    </xf>
    <xf numFmtId="0" fontId="51" fillId="25" borderId="12" xfId="140" applyFont="1" applyFill="1" applyBorder="1"/>
    <xf numFmtId="14" fontId="90" fillId="25" borderId="10" xfId="140" applyNumberFormat="1" applyFont="1" applyFill="1" applyBorder="1" applyAlignment="1">
      <alignment horizontal="right" vertical="center"/>
    </xf>
    <xf numFmtId="0" fontId="90" fillId="25" borderId="11" xfId="140" applyFont="1" applyFill="1" applyBorder="1" applyAlignment="1">
      <alignment vertical="center" wrapText="1"/>
    </xf>
    <xf numFmtId="3" fontId="76" fillId="25" borderId="13" xfId="140" applyNumberFormat="1" applyFont="1" applyFill="1" applyBorder="1" applyAlignment="1">
      <alignment horizontal="right" vertical="center"/>
    </xf>
    <xf numFmtId="0" fontId="90" fillId="25" borderId="13" xfId="140" applyFont="1" applyFill="1" applyBorder="1" applyAlignment="1">
      <alignment horizontal="right" vertical="center"/>
    </xf>
    <xf numFmtId="0" fontId="76" fillId="0" borderId="0" xfId="141" applyFont="1" applyAlignment="1">
      <alignment horizontal="left"/>
    </xf>
    <xf numFmtId="0" fontId="91" fillId="0" borderId="0" xfId="140" applyFont="1" applyAlignment="1">
      <alignment vertical="center"/>
    </xf>
    <xf numFmtId="0" fontId="82" fillId="25" borderId="12" xfId="140" applyFont="1" applyFill="1" applyBorder="1" applyAlignment="1">
      <alignment vertical="center" wrapText="1"/>
    </xf>
    <xf numFmtId="3" fontId="90" fillId="25" borderId="10" xfId="140" applyNumberFormat="1" applyFont="1" applyFill="1" applyBorder="1" applyAlignment="1">
      <alignment horizontal="center" vertical="center" wrapText="1"/>
    </xf>
    <xf numFmtId="0" fontId="82" fillId="25" borderId="11" xfId="140" applyFont="1" applyFill="1" applyBorder="1" applyAlignment="1">
      <alignment vertical="center" wrapText="1"/>
    </xf>
    <xf numFmtId="3" fontId="90" fillId="25" borderId="13" xfId="140" applyNumberFormat="1" applyFont="1" applyFill="1" applyBorder="1" applyAlignment="1">
      <alignment horizontal="center" vertical="center" wrapText="1"/>
    </xf>
    <xf numFmtId="9" fontId="90" fillId="25" borderId="13" xfId="140" applyNumberFormat="1" applyFont="1" applyFill="1" applyBorder="1" applyAlignment="1">
      <alignment horizontal="center" vertical="center" wrapText="1"/>
    </xf>
    <xf numFmtId="0" fontId="90" fillId="25" borderId="13" xfId="140" applyFont="1" applyFill="1" applyBorder="1" applyAlignment="1">
      <alignment horizontal="center" vertical="center" wrapText="1"/>
    </xf>
    <xf numFmtId="0" fontId="87" fillId="25" borderId="0" xfId="140" applyFont="1" applyFill="1" applyAlignment="1">
      <alignment horizontal="left" vertical="center" indent="1"/>
    </xf>
    <xf numFmtId="0" fontId="76" fillId="25" borderId="0" xfId="140" applyFont="1" applyFill="1" applyAlignment="1">
      <alignment horizontal="left" vertical="center" indent="15"/>
    </xf>
    <xf numFmtId="0" fontId="76" fillId="25" borderId="0" xfId="140" applyFont="1" applyFill="1"/>
    <xf numFmtId="0" fontId="90" fillId="0" borderId="0" xfId="140" applyFont="1" applyAlignment="1">
      <alignment vertical="center" wrapText="1"/>
    </xf>
    <xf numFmtId="0" fontId="53" fillId="24" borderId="0" xfId="139" applyFont="1" applyFill="1"/>
    <xf numFmtId="0" fontId="53" fillId="24" borderId="12" xfId="139" applyFont="1" applyFill="1" applyBorder="1" applyAlignment="1">
      <alignment vertical="center" wrapText="1"/>
    </xf>
    <xf numFmtId="0" fontId="53" fillId="24" borderId="10" xfId="139" applyFont="1" applyFill="1" applyBorder="1" applyAlignment="1">
      <alignment horizontal="right" vertical="center" wrapText="1"/>
    </xf>
    <xf numFmtId="0" fontId="53" fillId="24" borderId="11" xfId="139" applyFont="1" applyFill="1" applyBorder="1" applyAlignment="1">
      <alignment vertical="center" wrapText="1"/>
    </xf>
    <xf numFmtId="0" fontId="53" fillId="24" borderId="13" xfId="139" applyFont="1" applyFill="1" applyBorder="1" applyAlignment="1">
      <alignment horizontal="right" vertical="center" wrapText="1"/>
    </xf>
    <xf numFmtId="0" fontId="52" fillId="24" borderId="10" xfId="139" applyFont="1" applyFill="1" applyBorder="1" applyAlignment="1">
      <alignment horizontal="center" vertical="center" wrapText="1"/>
    </xf>
    <xf numFmtId="0" fontId="53" fillId="24" borderId="13" xfId="139" applyFont="1" applyFill="1" applyBorder="1" applyAlignment="1">
      <alignment horizontal="center" vertical="center" wrapText="1"/>
    </xf>
    <xf numFmtId="0" fontId="54" fillId="24" borderId="0" xfId="139" applyFont="1" applyFill="1" applyAlignment="1">
      <alignment horizontal="left"/>
    </xf>
    <xf numFmtId="0" fontId="76" fillId="0" borderId="0" xfId="139" applyFont="1"/>
    <xf numFmtId="0" fontId="36" fillId="25" borderId="14" xfId="140" applyFont="1" applyFill="1" applyBorder="1" applyAlignment="1">
      <alignment horizontal="center" vertical="center"/>
    </xf>
    <xf numFmtId="0" fontId="0" fillId="30" borderId="0" xfId="0" applyFill="1"/>
    <xf numFmtId="0" fontId="36" fillId="25" borderId="14" xfId="140" applyFont="1" applyFill="1" applyBorder="1" applyAlignment="1">
      <alignment vertical="center"/>
    </xf>
    <xf numFmtId="0" fontId="36" fillId="25" borderId="13" xfId="140" applyFont="1" applyFill="1" applyBorder="1" applyAlignment="1">
      <alignment vertical="center"/>
    </xf>
    <xf numFmtId="169" fontId="36" fillId="25" borderId="13" xfId="140" applyNumberFormat="1" applyFont="1" applyFill="1" applyBorder="1" applyAlignment="1">
      <alignment vertical="center"/>
    </xf>
    <xf numFmtId="170" fontId="36" fillId="25" borderId="13" xfId="140" applyNumberFormat="1" applyFont="1" applyFill="1" applyBorder="1" applyAlignment="1">
      <alignment vertical="center"/>
    </xf>
    <xf numFmtId="10" fontId="36" fillId="25" borderId="13" xfId="140" applyNumberFormat="1" applyFont="1" applyFill="1" applyBorder="1" applyAlignment="1">
      <alignment vertical="center"/>
    </xf>
    <xf numFmtId="0" fontId="36" fillId="25" borderId="53" xfId="140" applyFont="1" applyFill="1" applyBorder="1" applyAlignment="1">
      <alignment horizontal="center" vertical="center"/>
    </xf>
    <xf numFmtId="3" fontId="36" fillId="25" borderId="11" xfId="140" applyNumberFormat="1" applyFont="1" applyFill="1" applyBorder="1" applyAlignment="1">
      <alignment vertical="center"/>
    </xf>
    <xf numFmtId="3" fontId="36" fillId="25" borderId="13" xfId="140" applyNumberFormat="1" applyFont="1" applyFill="1" applyBorder="1" applyAlignment="1">
      <alignment vertical="center"/>
    </xf>
    <xf numFmtId="0" fontId="36" fillId="25" borderId="53" xfId="140" applyFont="1" applyFill="1" applyBorder="1" applyAlignment="1">
      <alignment vertical="center"/>
    </xf>
    <xf numFmtId="0" fontId="36" fillId="0" borderId="0" xfId="140" applyFont="1" applyAlignment="1">
      <alignment horizontal="left" vertical="center" indent="9"/>
    </xf>
    <xf numFmtId="0" fontId="64" fillId="25" borderId="11" xfId="140" applyFont="1" applyFill="1" applyBorder="1" applyAlignment="1">
      <alignment vertical="center"/>
    </xf>
    <xf numFmtId="0" fontId="64" fillId="25" borderId="13" xfId="140" applyFont="1" applyFill="1" applyBorder="1" applyAlignment="1">
      <alignment vertical="center"/>
    </xf>
    <xf numFmtId="0" fontId="64" fillId="25" borderId="11" xfId="140" applyFont="1" applyFill="1" applyBorder="1" applyAlignment="1">
      <alignment horizontal="left" vertical="center"/>
    </xf>
    <xf numFmtId="3" fontId="64" fillId="25" borderId="13" xfId="140" applyNumberFormat="1" applyFont="1" applyFill="1" applyBorder="1" applyAlignment="1">
      <alignment vertical="center"/>
    </xf>
    <xf numFmtId="0" fontId="64" fillId="25" borderId="12" xfId="140" applyFont="1" applyFill="1" applyBorder="1" applyAlignment="1">
      <alignment vertical="center"/>
    </xf>
    <xf numFmtId="0" fontId="36" fillId="25" borderId="0" xfId="140" applyFont="1" applyFill="1" applyAlignment="1">
      <alignment horizontal="left" vertical="center" indent="1"/>
    </xf>
    <xf numFmtId="0" fontId="95" fillId="25" borderId="12" xfId="140" applyFont="1" applyFill="1" applyBorder="1" applyAlignment="1">
      <alignment vertical="center"/>
    </xf>
    <xf numFmtId="0" fontId="96" fillId="25" borderId="10" xfId="140" applyFont="1" applyFill="1" applyBorder="1" applyAlignment="1">
      <alignment vertical="center"/>
    </xf>
    <xf numFmtId="0" fontId="96" fillId="25" borderId="10" xfId="140" applyFont="1" applyFill="1" applyBorder="1" applyAlignment="1">
      <alignment horizontal="right" vertical="center"/>
    </xf>
    <xf numFmtId="0" fontId="95" fillId="25" borderId="11" xfId="140" applyFont="1" applyFill="1" applyBorder="1" applyAlignment="1">
      <alignment vertical="center"/>
    </xf>
    <xf numFmtId="0" fontId="96" fillId="25" borderId="13" xfId="140" applyFont="1" applyFill="1" applyBorder="1" applyAlignment="1">
      <alignment vertical="center"/>
    </xf>
    <xf numFmtId="0" fontId="96" fillId="25" borderId="13" xfId="140" applyFont="1" applyFill="1" applyBorder="1" applyAlignment="1">
      <alignment horizontal="right" vertical="center"/>
    </xf>
    <xf numFmtId="0" fontId="58" fillId="25" borderId="0" xfId="140" applyFont="1" applyFill="1" applyAlignment="1">
      <alignment vertical="center"/>
    </xf>
    <xf numFmtId="0" fontId="58" fillId="25" borderId="12" xfId="140" applyFont="1" applyFill="1" applyBorder="1" applyAlignment="1">
      <alignment vertical="center" wrapText="1"/>
    </xf>
    <xf numFmtId="14" fontId="58" fillId="25" borderId="10" xfId="140" applyNumberFormat="1" applyFont="1" applyFill="1" applyBorder="1" applyAlignment="1">
      <alignment horizontal="right" vertical="center" wrapText="1"/>
    </xf>
    <xf numFmtId="0" fontId="58" fillId="25" borderId="11" xfId="140" applyFont="1" applyFill="1" applyBorder="1" applyAlignment="1">
      <alignment vertical="center" wrapText="1"/>
    </xf>
    <xf numFmtId="0" fontId="58" fillId="25" borderId="13" xfId="140" applyFont="1" applyFill="1" applyBorder="1" applyAlignment="1">
      <alignment horizontal="right" vertical="center" wrapText="1"/>
    </xf>
    <xf numFmtId="0" fontId="58" fillId="0" borderId="0" xfId="140" applyFont="1" applyAlignment="1">
      <alignment vertical="center"/>
    </xf>
    <xf numFmtId="17" fontId="36" fillId="25" borderId="10" xfId="140" quotePrefix="1" applyNumberFormat="1" applyFont="1" applyFill="1" applyBorder="1" applyAlignment="1">
      <alignment vertical="center"/>
    </xf>
    <xf numFmtId="9" fontId="36" fillId="25" borderId="10" xfId="140" applyNumberFormat="1" applyFont="1" applyFill="1" applyBorder="1" applyAlignment="1">
      <alignment vertical="center"/>
    </xf>
    <xf numFmtId="9" fontId="36" fillId="25" borderId="13" xfId="140" applyNumberFormat="1" applyFont="1" applyFill="1" applyBorder="1" applyAlignment="1">
      <alignment vertical="center"/>
    </xf>
    <xf numFmtId="0" fontId="100" fillId="32" borderId="0" xfId="143" applyFont="1" applyFill="1" applyProtection="1"/>
    <xf numFmtId="0" fontId="99" fillId="0" borderId="0" xfId="143" applyProtection="1"/>
    <xf numFmtId="0" fontId="99" fillId="0" borderId="57" xfId="143" applyBorder="1" applyAlignment="1" applyProtection="1">
      <alignment horizontal="center"/>
    </xf>
    <xf numFmtId="169" fontId="99" fillId="0" borderId="57" xfId="143" applyNumberFormat="1" applyBorder="1" applyAlignment="1" applyProtection="1">
      <alignment horizontal="center"/>
    </xf>
    <xf numFmtId="170" fontId="99" fillId="0" borderId="57" xfId="143" applyNumberFormat="1" applyBorder="1" applyAlignment="1" applyProtection="1">
      <alignment horizontal="center"/>
    </xf>
    <xf numFmtId="10" fontId="99" fillId="0" borderId="57" xfId="143" applyNumberFormat="1" applyBorder="1" applyAlignment="1" applyProtection="1">
      <alignment horizontal="center"/>
    </xf>
    <xf numFmtId="170" fontId="99" fillId="0" borderId="0" xfId="143" applyNumberFormat="1" applyAlignment="1" applyProtection="1">
      <alignment horizontal="center"/>
    </xf>
    <xf numFmtId="0" fontId="99" fillId="0" borderId="0" xfId="143" applyAlignment="1" applyProtection="1">
      <alignment horizontal="center"/>
    </xf>
    <xf numFmtId="0" fontId="99" fillId="0" borderId="58" xfId="143" applyBorder="1" applyAlignment="1" applyProtection="1">
      <alignment horizontal="center"/>
    </xf>
    <xf numFmtId="0" fontId="99" fillId="0" borderId="57" xfId="143" applyBorder="1" applyProtection="1"/>
    <xf numFmtId="0" fontId="99" fillId="0" borderId="59" xfId="143" applyBorder="1" applyProtection="1"/>
    <xf numFmtId="172" fontId="99" fillId="0" borderId="57" xfId="144" applyNumberFormat="1" applyFont="1" applyBorder="1"/>
    <xf numFmtId="172" fontId="99" fillId="0" borderId="59" xfId="144" applyNumberFormat="1" applyFont="1" applyBorder="1"/>
    <xf numFmtId="172" fontId="99" fillId="0" borderId="0" xfId="144" applyNumberFormat="1" applyFont="1"/>
    <xf numFmtId="0" fontId="100" fillId="33" borderId="0" xfId="143" applyFont="1" applyFill="1" applyProtection="1"/>
    <xf numFmtId="0" fontId="102" fillId="0" borderId="0" xfId="143" applyFont="1" applyProtection="1"/>
    <xf numFmtId="0" fontId="99" fillId="0" borderId="0" xfId="143" applyAlignment="1" applyProtection="1">
      <alignment wrapText="1"/>
    </xf>
    <xf numFmtId="0" fontId="99" fillId="32" borderId="0" xfId="143" applyFill="1" applyAlignment="1" applyProtection="1">
      <alignment wrapText="1"/>
    </xf>
    <xf numFmtId="172" fontId="99" fillId="0" borderId="0" xfId="145" applyNumberFormat="1" applyFont="1" applyAlignment="1">
      <alignment horizontal="right" vertical="center"/>
    </xf>
    <xf numFmtId="172" fontId="0" fillId="32" borderId="0" xfId="145" applyNumberFormat="1" applyFont="1" applyFill="1"/>
    <xf numFmtId="172" fontId="0" fillId="0" borderId="0" xfId="145" applyNumberFormat="1" applyFont="1"/>
    <xf numFmtId="0" fontId="99" fillId="32" borderId="0" xfId="143" applyFill="1" applyAlignment="1" applyProtection="1">
      <alignment horizontal="right"/>
    </xf>
    <xf numFmtId="10" fontId="99" fillId="32" borderId="0" xfId="143" applyNumberFormat="1" applyFill="1" applyProtection="1"/>
    <xf numFmtId="0" fontId="99" fillId="32" borderId="0" xfId="143" applyFill="1" applyProtection="1"/>
    <xf numFmtId="172" fontId="99" fillId="32" borderId="0" xfId="143" applyNumberFormat="1" applyFill="1" applyProtection="1"/>
    <xf numFmtId="0" fontId="99" fillId="34" borderId="0" xfId="143" applyFill="1" applyProtection="1"/>
    <xf numFmtId="10" fontId="0" fillId="34" borderId="0" xfId="146" applyNumberFormat="1" applyFont="1" applyFill="1"/>
    <xf numFmtId="172" fontId="103" fillId="0" borderId="0" xfId="145" applyNumberFormat="1" applyFont="1" applyAlignment="1">
      <alignment horizontal="right" vertical="center"/>
    </xf>
    <xf numFmtId="173" fontId="0" fillId="32" borderId="0" xfId="145" applyNumberFormat="1" applyFont="1" applyFill="1"/>
    <xf numFmtId="173" fontId="99" fillId="32" borderId="0" xfId="143" applyNumberFormat="1" applyFill="1" applyAlignment="1" applyProtection="1">
      <alignment wrapText="1"/>
    </xf>
    <xf numFmtId="173" fontId="99" fillId="32" borderId="0" xfId="143" applyNumberFormat="1" applyFill="1" applyProtection="1"/>
    <xf numFmtId="0" fontId="104" fillId="32" borderId="0" xfId="143" applyFont="1" applyFill="1" applyProtection="1"/>
    <xf numFmtId="2" fontId="0" fillId="32" borderId="0" xfId="146" applyNumberFormat="1" applyFont="1" applyFill="1"/>
    <xf numFmtId="0" fontId="102" fillId="29" borderId="0" xfId="143" applyFont="1" applyFill="1" applyProtection="1"/>
    <xf numFmtId="2" fontId="0" fillId="34" borderId="0" xfId="146" applyNumberFormat="1" applyFont="1" applyFill="1"/>
    <xf numFmtId="2" fontId="99" fillId="34" borderId="0" xfId="143" applyNumberFormat="1" applyFill="1" applyProtection="1"/>
    <xf numFmtId="0" fontId="10" fillId="0" borderId="0" xfId="147"/>
    <xf numFmtId="0" fontId="2" fillId="0" borderId="0" xfId="148"/>
    <xf numFmtId="0" fontId="40" fillId="0" borderId="60" xfId="147" applyFont="1" applyBorder="1"/>
    <xf numFmtId="0" fontId="10" fillId="0" borderId="60" xfId="147" applyBorder="1"/>
    <xf numFmtId="167" fontId="0" fillId="0" borderId="60" xfId="149" applyNumberFormat="1" applyFont="1" applyBorder="1"/>
    <xf numFmtId="10" fontId="0" fillId="0" borderId="60" xfId="150" applyNumberFormat="1" applyFont="1" applyBorder="1"/>
    <xf numFmtId="0" fontId="105" fillId="0" borderId="0" xfId="148" applyFont="1"/>
    <xf numFmtId="4" fontId="10" fillId="0" borderId="0" xfId="147" applyNumberFormat="1"/>
    <xf numFmtId="10" fontId="0" fillId="0" borderId="0" xfId="150" applyNumberFormat="1" applyFont="1"/>
    <xf numFmtId="10" fontId="10" fillId="0" borderId="0" xfId="147" applyNumberFormat="1"/>
    <xf numFmtId="0" fontId="10" fillId="0" borderId="0" xfId="147" quotePrefix="1"/>
    <xf numFmtId="0" fontId="10" fillId="0" borderId="0" xfId="147" applyAlignment="1">
      <alignment wrapText="1"/>
    </xf>
    <xf numFmtId="0" fontId="2" fillId="0" borderId="0" xfId="148" quotePrefix="1"/>
    <xf numFmtId="0" fontId="76" fillId="25" borderId="10" xfId="140" applyFont="1" applyFill="1" applyBorder="1" applyAlignment="1">
      <alignment vertical="center" wrapText="1"/>
    </xf>
    <xf numFmtId="0" fontId="76" fillId="25" borderId="13" xfId="140" applyFont="1" applyFill="1" applyBorder="1" applyAlignment="1">
      <alignment vertical="center" wrapText="1"/>
    </xf>
    <xf numFmtId="0" fontId="106" fillId="25" borderId="12" xfId="140" applyFont="1" applyFill="1" applyBorder="1" applyAlignment="1">
      <alignment vertical="center" wrapText="1"/>
    </xf>
    <xf numFmtId="0" fontId="106" fillId="25" borderId="10" xfId="140" applyFont="1" applyFill="1" applyBorder="1" applyAlignment="1">
      <alignment vertical="center" wrapText="1"/>
    </xf>
    <xf numFmtId="0" fontId="106" fillId="25" borderId="11" xfId="140" applyFont="1" applyFill="1" applyBorder="1" applyAlignment="1">
      <alignment vertical="center" wrapText="1"/>
    </xf>
    <xf numFmtId="0" fontId="106" fillId="25" borderId="13" xfId="140" applyFont="1" applyFill="1" applyBorder="1" applyAlignment="1">
      <alignment vertical="center" wrapText="1"/>
    </xf>
    <xf numFmtId="10" fontId="106" fillId="25" borderId="13" xfId="140" applyNumberFormat="1" applyFont="1" applyFill="1" applyBorder="1" applyAlignment="1">
      <alignment vertical="center" wrapText="1"/>
    </xf>
    <xf numFmtId="0" fontId="106" fillId="25" borderId="56" xfId="140" applyFont="1" applyFill="1" applyBorder="1" applyAlignment="1">
      <alignment vertical="center" wrapText="1"/>
    </xf>
    <xf numFmtId="0" fontId="51" fillId="25" borderId="0" xfId="140" applyFont="1" applyFill="1" applyAlignment="1">
      <alignment vertical="center" wrapText="1"/>
    </xf>
    <xf numFmtId="0" fontId="106" fillId="0" borderId="11" xfId="140" applyFont="1" applyBorder="1" applyAlignment="1">
      <alignment vertical="center" wrapText="1"/>
    </xf>
    <xf numFmtId="0" fontId="106" fillId="0" borderId="13" xfId="140" applyFont="1" applyBorder="1" applyAlignment="1">
      <alignment vertical="center" wrapText="1"/>
    </xf>
    <xf numFmtId="0" fontId="108" fillId="0" borderId="0" xfId="140" applyFont="1"/>
    <xf numFmtId="0" fontId="90" fillId="25" borderId="0" xfId="140" applyFont="1" applyFill="1" applyAlignment="1">
      <alignment horizontal="left" vertical="center" indent="4"/>
    </xf>
    <xf numFmtId="0" fontId="90" fillId="25" borderId="0" xfId="140" applyFont="1" applyFill="1" applyAlignment="1">
      <alignment vertical="center"/>
    </xf>
    <xf numFmtId="0" fontId="90" fillId="25" borderId="12" xfId="140" applyFont="1" applyFill="1" applyBorder="1" applyAlignment="1">
      <alignment vertical="center" wrapText="1"/>
    </xf>
    <xf numFmtId="3" fontId="90" fillId="25" borderId="10" xfId="140" applyNumberFormat="1" applyFont="1" applyFill="1" applyBorder="1" applyAlignment="1">
      <alignment vertical="center" wrapText="1"/>
    </xf>
    <xf numFmtId="10" fontId="90" fillId="25" borderId="13" xfId="140" applyNumberFormat="1" applyFont="1" applyFill="1" applyBorder="1" applyAlignment="1">
      <alignment vertical="center" wrapText="1"/>
    </xf>
    <xf numFmtId="0" fontId="90" fillId="25" borderId="13" xfId="140" applyFont="1" applyFill="1" applyBorder="1" applyAlignment="1">
      <alignment vertical="center" wrapText="1"/>
    </xf>
    <xf numFmtId="9" fontId="90" fillId="25" borderId="10" xfId="140" applyNumberFormat="1" applyFont="1" applyFill="1" applyBorder="1" applyAlignment="1">
      <alignment vertical="center" wrapText="1"/>
    </xf>
    <xf numFmtId="4" fontId="90" fillId="25" borderId="13" xfId="140" applyNumberFormat="1" applyFont="1" applyFill="1" applyBorder="1" applyAlignment="1">
      <alignment vertical="center" wrapText="1"/>
    </xf>
    <xf numFmtId="0" fontId="90" fillId="25" borderId="11" xfId="140" applyFont="1" applyFill="1" applyBorder="1" applyAlignment="1">
      <alignment vertical="top" wrapText="1"/>
    </xf>
    <xf numFmtId="0" fontId="90" fillId="25" borderId="0" xfId="140" applyFont="1" applyFill="1" applyAlignment="1">
      <alignment horizontal="left" vertical="center"/>
    </xf>
    <xf numFmtId="0" fontId="90" fillId="0" borderId="0" xfId="140" applyFont="1" applyAlignment="1">
      <alignment horizontal="left" vertical="center" indent="9"/>
    </xf>
    <xf numFmtId="0" fontId="90" fillId="0" borderId="0" xfId="140" applyFont="1" applyAlignment="1">
      <alignment vertical="center"/>
    </xf>
    <xf numFmtId="0" fontId="90" fillId="25" borderId="10" xfId="140" applyFont="1" applyFill="1" applyBorder="1" applyAlignment="1">
      <alignment vertical="center" wrapText="1"/>
    </xf>
    <xf numFmtId="0" fontId="90" fillId="25" borderId="11" xfId="140" applyFont="1" applyFill="1" applyBorder="1" applyAlignment="1">
      <alignment horizontal="center" vertical="center" wrapText="1"/>
    </xf>
    <xf numFmtId="3" fontId="76" fillId="25" borderId="13" xfId="140" applyNumberFormat="1" applyFont="1" applyFill="1" applyBorder="1" applyAlignment="1">
      <alignment horizontal="right" vertical="center" wrapText="1"/>
    </xf>
    <xf numFmtId="0" fontId="90" fillId="25" borderId="0" xfId="140" applyFont="1" applyFill="1"/>
    <xf numFmtId="0" fontId="87" fillId="25" borderId="0" xfId="140" applyFont="1" applyFill="1" applyAlignment="1">
      <alignment horizontal="left" vertical="center" indent="9"/>
    </xf>
    <xf numFmtId="0" fontId="76" fillId="25" borderId="10" xfId="140" applyFont="1" applyFill="1" applyBorder="1" applyAlignment="1">
      <alignment horizontal="center" vertical="center" wrapText="1"/>
    </xf>
    <xf numFmtId="9" fontId="76" fillId="25" borderId="13" xfId="140" applyNumberFormat="1" applyFont="1" applyFill="1" applyBorder="1" applyAlignment="1">
      <alignment horizontal="center" vertical="center" wrapText="1"/>
    </xf>
    <xf numFmtId="0" fontId="76" fillId="25" borderId="13" xfId="140" applyFont="1" applyFill="1" applyBorder="1" applyAlignment="1">
      <alignment horizontal="center" vertical="center" wrapText="1"/>
    </xf>
    <xf numFmtId="0" fontId="36" fillId="0" borderId="0" xfId="148" applyFont="1" applyAlignment="1">
      <alignment vertical="center"/>
    </xf>
    <xf numFmtId="0" fontId="2" fillId="25" borderId="0" xfId="148" applyFill="1"/>
    <xf numFmtId="0" fontId="36" fillId="25" borderId="0" xfId="148" applyFont="1" applyFill="1" applyAlignment="1">
      <alignment vertical="center"/>
    </xf>
    <xf numFmtId="0" fontId="36" fillId="0" borderId="0" xfId="148" applyFont="1" applyAlignment="1">
      <alignment horizontal="left" vertical="center" indent="9"/>
    </xf>
    <xf numFmtId="167" fontId="36" fillId="25" borderId="26" xfId="151" applyNumberFormat="1" applyFont="1" applyFill="1" applyBorder="1"/>
    <xf numFmtId="167" fontId="36" fillId="25" borderId="25" xfId="151" applyNumberFormat="1" applyFont="1" applyFill="1" applyBorder="1"/>
    <xf numFmtId="165" fontId="61" fillId="25" borderId="24" xfId="84" applyNumberFormat="1" applyFont="1" applyFill="1" applyBorder="1"/>
    <xf numFmtId="0" fontId="61" fillId="25" borderId="27" xfId="84" applyFont="1" applyFill="1" applyBorder="1"/>
    <xf numFmtId="174" fontId="2" fillId="25" borderId="0" xfId="148" applyNumberFormat="1" applyFill="1"/>
    <xf numFmtId="167" fontId="36" fillId="25" borderId="22" xfId="151" applyNumberFormat="1" applyFont="1" applyFill="1" applyBorder="1"/>
    <xf numFmtId="167" fontId="36" fillId="25" borderId="0" xfId="151" applyNumberFormat="1" applyFont="1" applyFill="1" applyBorder="1"/>
    <xf numFmtId="165" fontId="61" fillId="25" borderId="21" xfId="84" applyNumberFormat="1" applyFont="1" applyFill="1" applyBorder="1"/>
    <xf numFmtId="0" fontId="61" fillId="25" borderId="23" xfId="84" applyFont="1" applyFill="1" applyBorder="1"/>
    <xf numFmtId="9" fontId="61" fillId="25" borderId="21" xfId="84" applyNumberFormat="1" applyFont="1" applyFill="1" applyBorder="1"/>
    <xf numFmtId="167" fontId="36" fillId="25" borderId="19" xfId="151" applyNumberFormat="1" applyFont="1" applyFill="1" applyBorder="1"/>
    <xf numFmtId="167" fontId="36" fillId="25" borderId="18" xfId="151" applyNumberFormat="1" applyFont="1" applyFill="1" applyBorder="1"/>
    <xf numFmtId="9" fontId="61" fillId="25" borderId="17" xfId="84" applyNumberFormat="1" applyFont="1" applyFill="1" applyBorder="1"/>
    <xf numFmtId="0" fontId="61" fillId="25" borderId="20" xfId="84" applyFont="1" applyFill="1" applyBorder="1"/>
    <xf numFmtId="0" fontId="61" fillId="25" borderId="61" xfId="84" applyFont="1" applyFill="1" applyBorder="1" applyAlignment="1">
      <alignment horizontal="center" vertical="center" wrapText="1"/>
    </xf>
    <xf numFmtId="0" fontId="61" fillId="25" borderId="62" xfId="84" applyFont="1" applyFill="1" applyBorder="1" applyAlignment="1">
      <alignment horizontal="center" vertical="center" wrapText="1"/>
    </xf>
    <xf numFmtId="0" fontId="61" fillId="25" borderId="60" xfId="84" applyFont="1" applyFill="1" applyBorder="1" applyAlignment="1">
      <alignment horizontal="center" vertical="center" wrapText="1"/>
    </xf>
    <xf numFmtId="2" fontId="61" fillId="25" borderId="26" xfId="84" applyNumberFormat="1" applyFont="1" applyFill="1" applyBorder="1" applyAlignment="1">
      <alignment horizontal="center"/>
    </xf>
    <xf numFmtId="2" fontId="61" fillId="25" borderId="25" xfId="84" applyNumberFormat="1" applyFont="1" applyFill="1" applyBorder="1" applyAlignment="1">
      <alignment horizontal="center"/>
    </xf>
    <xf numFmtId="2" fontId="61" fillId="25" borderId="22" xfId="84" applyNumberFormat="1" applyFont="1" applyFill="1" applyBorder="1" applyAlignment="1">
      <alignment horizontal="center"/>
    </xf>
    <xf numFmtId="2" fontId="61" fillId="25" borderId="0" xfId="84" applyNumberFormat="1" applyFont="1" applyFill="1" applyAlignment="1">
      <alignment horizontal="center"/>
    </xf>
    <xf numFmtId="0" fontId="61" fillId="25" borderId="61" xfId="84" applyFont="1" applyFill="1" applyBorder="1"/>
    <xf numFmtId="0" fontId="61" fillId="25" borderId="62" xfId="84" applyFont="1" applyFill="1" applyBorder="1"/>
    <xf numFmtId="0" fontId="61" fillId="25" borderId="60" xfId="84" applyFont="1" applyFill="1" applyBorder="1"/>
    <xf numFmtId="0" fontId="61" fillId="25" borderId="0" xfId="84" applyFont="1" applyFill="1"/>
    <xf numFmtId="0" fontId="65" fillId="25" borderId="0" xfId="148" applyFont="1" applyFill="1" applyAlignment="1">
      <alignment horizontal="left" vertical="center" indent="9"/>
    </xf>
    <xf numFmtId="0" fontId="43" fillId="25" borderId="0" xfId="148" applyFont="1" applyFill="1"/>
    <xf numFmtId="0" fontId="42" fillId="25" borderId="0" xfId="148" applyFont="1" applyFill="1"/>
    <xf numFmtId="0" fontId="36" fillId="0" borderId="0" xfId="148" applyFont="1" applyAlignment="1">
      <alignment vertical="center" wrapText="1"/>
    </xf>
    <xf numFmtId="0" fontId="35" fillId="25" borderId="13" xfId="148" applyFont="1" applyFill="1" applyBorder="1" applyAlignment="1">
      <alignment horizontal="right" vertical="center" wrapText="1"/>
    </xf>
    <xf numFmtId="9" fontId="35" fillId="25" borderId="13" xfId="148" applyNumberFormat="1" applyFont="1" applyFill="1" applyBorder="1" applyAlignment="1">
      <alignment horizontal="right" vertical="center" wrapText="1"/>
    </xf>
    <xf numFmtId="3" fontId="35" fillId="25" borderId="13" xfId="148" applyNumberFormat="1" applyFont="1" applyFill="1" applyBorder="1" applyAlignment="1">
      <alignment horizontal="right" vertical="center" wrapText="1"/>
    </xf>
    <xf numFmtId="0" fontId="35" fillId="25" borderId="11" xfId="148" applyFont="1" applyFill="1" applyBorder="1" applyAlignment="1">
      <alignment horizontal="center" vertical="center" wrapText="1"/>
    </xf>
    <xf numFmtId="175" fontId="35" fillId="25" borderId="13" xfId="148" applyNumberFormat="1" applyFont="1" applyFill="1" applyBorder="1" applyAlignment="1">
      <alignment horizontal="right" vertical="center" wrapText="1"/>
    </xf>
    <xf numFmtId="0" fontId="35" fillId="25" borderId="10" xfId="148" applyFont="1" applyFill="1" applyBorder="1" applyAlignment="1">
      <alignment vertical="center" wrapText="1"/>
    </xf>
    <xf numFmtId="0" fontId="35" fillId="25" borderId="12" xfId="148" applyFont="1" applyFill="1" applyBorder="1" applyAlignment="1">
      <alignment horizontal="center" vertical="center" wrapText="1"/>
    </xf>
    <xf numFmtId="10" fontId="36" fillId="25" borderId="13" xfId="148" applyNumberFormat="1" applyFont="1" applyFill="1" applyBorder="1" applyAlignment="1">
      <alignment horizontal="right" vertical="center" wrapText="1"/>
    </xf>
    <xf numFmtId="0" fontId="36" fillId="25" borderId="11" xfId="148" applyFont="1" applyFill="1" applyBorder="1" applyAlignment="1">
      <alignment vertical="center" wrapText="1"/>
    </xf>
    <xf numFmtId="10" fontId="36" fillId="25" borderId="10" xfId="148" applyNumberFormat="1" applyFont="1" applyFill="1" applyBorder="1" applyAlignment="1">
      <alignment horizontal="right" vertical="center" wrapText="1"/>
    </xf>
    <xf numFmtId="0" fontId="36" fillId="25" borderId="12" xfId="148" applyFont="1" applyFill="1" applyBorder="1" applyAlignment="1">
      <alignment vertical="center" wrapText="1"/>
    </xf>
    <xf numFmtId="0" fontId="36" fillId="25" borderId="0" xfId="148" applyFont="1" applyFill="1" applyAlignment="1">
      <alignment horizontal="left" vertical="center" indent="4"/>
    </xf>
    <xf numFmtId="9" fontId="36" fillId="25" borderId="13" xfId="148" applyNumberFormat="1" applyFont="1" applyFill="1" applyBorder="1" applyAlignment="1">
      <alignment horizontal="right" vertical="center" wrapText="1"/>
    </xf>
    <xf numFmtId="9" fontId="36" fillId="25" borderId="10" xfId="148" applyNumberFormat="1" applyFont="1" applyFill="1" applyBorder="1" applyAlignment="1">
      <alignment horizontal="right" vertical="center" wrapText="1"/>
    </xf>
    <xf numFmtId="0" fontId="36" fillId="25" borderId="0" xfId="148" applyFont="1" applyFill="1" applyAlignment="1">
      <alignment horizontal="left" vertical="center" indent="2"/>
    </xf>
    <xf numFmtId="0" fontId="65" fillId="25" borderId="0" xfId="148" applyFont="1" applyFill="1" applyAlignment="1">
      <alignment horizontal="left" vertical="center" indent="7"/>
    </xf>
    <xf numFmtId="0" fontId="36" fillId="25" borderId="0" xfId="148" applyFont="1" applyFill="1" applyAlignment="1">
      <alignment horizontal="left" vertical="center" indent="14"/>
    </xf>
    <xf numFmtId="0" fontId="48" fillId="0" borderId="0" xfId="148" applyFont="1" applyAlignment="1">
      <alignment vertical="center"/>
    </xf>
    <xf numFmtId="0" fontId="36" fillId="25" borderId="0" xfId="148" applyFont="1" applyFill="1" applyAlignment="1">
      <alignment horizontal="left" vertical="center" indent="7"/>
    </xf>
    <xf numFmtId="0" fontId="2" fillId="25" borderId="0" xfId="148" applyFill="1" applyAlignment="1">
      <alignment vertical="center" wrapText="1"/>
    </xf>
    <xf numFmtId="0" fontId="36" fillId="25" borderId="13" xfId="148" applyFont="1" applyFill="1" applyBorder="1" applyAlignment="1">
      <alignment horizontal="right" vertical="center"/>
    </xf>
    <xf numFmtId="0" fontId="36" fillId="25" borderId="11" xfId="148" applyFont="1" applyFill="1" applyBorder="1" applyAlignment="1">
      <alignment horizontal="center" vertical="center"/>
    </xf>
    <xf numFmtId="0" fontId="2" fillId="25" borderId="11" xfId="148" applyFill="1" applyBorder="1" applyAlignment="1">
      <alignment vertical="center"/>
    </xf>
    <xf numFmtId="0" fontId="36" fillId="25" borderId="16" xfId="148" applyFont="1" applyFill="1" applyBorder="1" applyAlignment="1">
      <alignment horizontal="center" vertical="center"/>
    </xf>
    <xf numFmtId="0" fontId="36" fillId="25" borderId="15" xfId="148" applyFont="1" applyFill="1" applyBorder="1" applyAlignment="1">
      <alignment horizontal="center" vertical="center"/>
    </xf>
    <xf numFmtId="0" fontId="36" fillId="25" borderId="10" xfId="148" applyFont="1" applyFill="1" applyBorder="1" applyAlignment="1">
      <alignment vertical="center"/>
    </xf>
    <xf numFmtId="0" fontId="36" fillId="25" borderId="35" xfId="148" applyFont="1" applyFill="1" applyBorder="1" applyAlignment="1">
      <alignment vertical="center"/>
    </xf>
    <xf numFmtId="0" fontId="2" fillId="25" borderId="0" xfId="148" applyFill="1" applyAlignment="1">
      <alignment vertical="center"/>
    </xf>
    <xf numFmtId="0" fontId="113" fillId="25" borderId="0" xfId="148" applyFont="1" applyFill="1" applyAlignment="1">
      <alignment horizontal="left" vertical="center" indent="12"/>
    </xf>
    <xf numFmtId="0" fontId="36" fillId="25" borderId="13" xfId="148" applyFont="1" applyFill="1" applyBorder="1" applyAlignment="1">
      <alignment horizontal="right" vertical="center" wrapText="1"/>
    </xf>
    <xf numFmtId="3" fontId="36" fillId="25" borderId="13" xfId="148" applyNumberFormat="1" applyFont="1" applyFill="1" applyBorder="1" applyAlignment="1">
      <alignment horizontal="right" vertical="center" wrapText="1"/>
    </xf>
    <xf numFmtId="0" fontId="36" fillId="25" borderId="10" xfId="148" applyFont="1" applyFill="1" applyBorder="1" applyAlignment="1">
      <alignment horizontal="right" vertical="center" wrapText="1"/>
    </xf>
    <xf numFmtId="0" fontId="58" fillId="25" borderId="60" xfId="152" applyFont="1" applyFill="1" applyBorder="1" applyAlignment="1">
      <alignment horizontal="center"/>
    </xf>
    <xf numFmtId="169" fontId="58" fillId="25" borderId="60" xfId="152" applyNumberFormat="1" applyFont="1" applyFill="1" applyBorder="1" applyAlignment="1">
      <alignment horizontal="center"/>
    </xf>
    <xf numFmtId="0" fontId="58" fillId="25" borderId="60" xfId="152" applyFont="1" applyFill="1" applyBorder="1"/>
    <xf numFmtId="9" fontId="36" fillId="25" borderId="13" xfId="148" applyNumberFormat="1" applyFont="1" applyFill="1" applyBorder="1" applyAlignment="1">
      <alignment horizontal="center" vertical="center" wrapText="1"/>
    </xf>
    <xf numFmtId="0" fontId="36" fillId="25" borderId="11" xfId="148" applyFont="1" applyFill="1" applyBorder="1" applyAlignment="1">
      <alignment horizontal="center" vertical="center" wrapText="1"/>
    </xf>
    <xf numFmtId="0" fontId="36" fillId="25" borderId="10" xfId="148" applyFont="1" applyFill="1" applyBorder="1" applyAlignment="1">
      <alignment vertical="center" wrapText="1"/>
    </xf>
    <xf numFmtId="0" fontId="36" fillId="25" borderId="12" xfId="148" applyFont="1" applyFill="1" applyBorder="1" applyAlignment="1">
      <alignment horizontal="center" vertical="center" wrapText="1"/>
    </xf>
    <xf numFmtId="0" fontId="36" fillId="25" borderId="0" xfId="148" applyFont="1" applyFill="1" applyAlignment="1">
      <alignment vertical="center" wrapText="1"/>
    </xf>
    <xf numFmtId="0" fontId="36" fillId="25" borderId="13" xfId="148" applyFont="1" applyFill="1" applyBorder="1" applyAlignment="1">
      <alignment horizontal="center" vertical="center" wrapText="1"/>
    </xf>
    <xf numFmtId="0" fontId="36" fillId="25" borderId="10" xfId="148" applyFont="1" applyFill="1" applyBorder="1" applyAlignment="1">
      <alignment horizontal="center" vertical="center" wrapText="1"/>
    </xf>
    <xf numFmtId="0" fontId="36" fillId="25" borderId="0" xfId="148" applyFont="1" applyFill="1" applyAlignment="1">
      <alignment horizontal="left" vertical="center" indent="9"/>
    </xf>
    <xf numFmtId="0" fontId="64" fillId="25" borderId="0" xfId="148" applyFont="1" applyFill="1" applyAlignment="1">
      <alignment vertical="center"/>
    </xf>
    <xf numFmtId="0" fontId="36" fillId="25" borderId="11" xfId="148" applyFont="1" applyFill="1" applyBorder="1" applyAlignment="1">
      <alignment vertical="center"/>
    </xf>
    <xf numFmtId="0" fontId="35" fillId="0" borderId="0" xfId="153" applyFont="1"/>
    <xf numFmtId="167" fontId="35" fillId="0" borderId="0" xfId="154" applyNumberFormat="1" applyFont="1" applyFill="1" applyBorder="1"/>
    <xf numFmtId="178" fontId="116" fillId="0" borderId="0" xfId="155" applyNumberFormat="1" applyFont="1" applyFill="1" applyBorder="1"/>
    <xf numFmtId="0" fontId="116" fillId="0" borderId="0" xfId="153" applyFont="1"/>
    <xf numFmtId="178" fontId="35" fillId="0" borderId="0" xfId="155" applyNumberFormat="1" applyFont="1" applyFill="1" applyBorder="1"/>
    <xf numFmtId="43" fontId="116" fillId="0" borderId="0" xfId="154" applyFont="1" applyFill="1" applyBorder="1"/>
    <xf numFmtId="179" fontId="35" fillId="0" borderId="0" xfId="154" applyNumberFormat="1" applyFont="1" applyFill="1" applyBorder="1"/>
    <xf numFmtId="177" fontId="117" fillId="0" borderId="0" xfId="155" applyFont="1" applyFill="1" applyBorder="1"/>
    <xf numFmtId="10" fontId="116" fillId="0" borderId="0" xfId="156" applyNumberFormat="1" applyFont="1" applyFill="1" applyBorder="1"/>
    <xf numFmtId="178" fontId="117" fillId="0" borderId="0" xfId="155" applyNumberFormat="1" applyFont="1" applyFill="1" applyBorder="1"/>
    <xf numFmtId="10" fontId="35" fillId="0" borderId="0" xfId="153" applyNumberFormat="1" applyFont="1"/>
    <xf numFmtId="180" fontId="35" fillId="0" borderId="0" xfId="155" applyNumberFormat="1" applyFont="1" applyFill="1" applyBorder="1"/>
    <xf numFmtId="181" fontId="35" fillId="0" borderId="0" xfId="153" applyNumberFormat="1" applyFont="1"/>
    <xf numFmtId="181" fontId="35" fillId="0" borderId="0" xfId="154" applyNumberFormat="1" applyFont="1" applyFill="1" applyBorder="1"/>
    <xf numFmtId="2" fontId="35" fillId="0" borderId="0" xfId="153" applyNumberFormat="1" applyFont="1"/>
    <xf numFmtId="43" fontId="35" fillId="0" borderId="0" xfId="154" applyFont="1" applyFill="1" applyBorder="1"/>
    <xf numFmtId="0" fontId="35" fillId="0" borderId="0" xfId="153" applyFont="1" applyAlignment="1">
      <alignment horizontal="center" vertical="center"/>
    </xf>
    <xf numFmtId="179" fontId="35" fillId="0" borderId="23" xfId="154" applyNumberFormat="1" applyFont="1" applyBorder="1"/>
    <xf numFmtId="167" fontId="35" fillId="0" borderId="0" xfId="154" applyNumberFormat="1" applyFont="1" applyFill="1"/>
    <xf numFmtId="10" fontId="116" fillId="0" borderId="21" xfId="156" applyNumberFormat="1" applyFont="1" applyFill="1" applyBorder="1"/>
    <xf numFmtId="178" fontId="117" fillId="0" borderId="60" xfId="155" applyNumberFormat="1" applyFont="1" applyFill="1" applyBorder="1"/>
    <xf numFmtId="179" fontId="35" fillId="0" borderId="60" xfId="154" applyNumberFormat="1" applyFont="1" applyBorder="1"/>
    <xf numFmtId="10" fontId="35" fillId="35" borderId="60" xfId="153" applyNumberFormat="1" applyFont="1" applyFill="1" applyBorder="1"/>
    <xf numFmtId="180" fontId="35" fillId="0" borderId="60" xfId="155" applyNumberFormat="1" applyFont="1" applyFill="1" applyBorder="1"/>
    <xf numFmtId="178" fontId="35" fillId="35" borderId="60" xfId="155" applyNumberFormat="1" applyFont="1" applyFill="1" applyBorder="1"/>
    <xf numFmtId="181" fontId="35" fillId="0" borderId="60" xfId="153" applyNumberFormat="1" applyFont="1" applyBorder="1"/>
    <xf numFmtId="181" fontId="35" fillId="0" borderId="60" xfId="154" applyNumberFormat="1" applyFont="1" applyBorder="1"/>
    <xf numFmtId="2" fontId="35" fillId="35" borderId="60" xfId="153" applyNumberFormat="1" applyFont="1" applyFill="1" applyBorder="1"/>
    <xf numFmtId="43" fontId="35" fillId="0" borderId="60" xfId="154" applyFont="1" applyBorder="1"/>
    <xf numFmtId="0" fontId="35" fillId="24" borderId="60" xfId="153" applyFont="1" applyFill="1" applyBorder="1"/>
    <xf numFmtId="0" fontId="35" fillId="24" borderId="60" xfId="153" applyFont="1" applyFill="1" applyBorder="1" applyAlignment="1">
      <alignment horizontal="center" vertical="center"/>
    </xf>
    <xf numFmtId="178" fontId="35" fillId="0" borderId="0" xfId="153" applyNumberFormat="1" applyFont="1"/>
    <xf numFmtId="167" fontId="118" fillId="0" borderId="0" xfId="154" applyNumberFormat="1" applyFont="1" applyFill="1" applyBorder="1"/>
    <xf numFmtId="167" fontId="118" fillId="0" borderId="0" xfId="154" applyNumberFormat="1" applyFont="1" applyFill="1"/>
    <xf numFmtId="10" fontId="116" fillId="0" borderId="21" xfId="156" quotePrefix="1" applyNumberFormat="1" applyFont="1" applyFill="1" applyBorder="1"/>
    <xf numFmtId="178" fontId="117" fillId="29" borderId="60" xfId="155" applyNumberFormat="1" applyFont="1" applyFill="1" applyBorder="1"/>
    <xf numFmtId="0" fontId="35" fillId="0" borderId="60" xfId="153" applyFont="1" applyBorder="1"/>
    <xf numFmtId="10" fontId="117" fillId="0" borderId="21" xfId="156" applyNumberFormat="1" applyFont="1" applyFill="1" applyBorder="1"/>
    <xf numFmtId="0" fontId="35" fillId="0" borderId="60" xfId="153" applyFont="1" applyBorder="1" applyAlignment="1">
      <alignment horizontal="center" vertical="center" wrapText="1"/>
    </xf>
    <xf numFmtId="0" fontId="35" fillId="35" borderId="60" xfId="153" applyFont="1" applyFill="1" applyBorder="1" applyAlignment="1">
      <alignment horizontal="center" vertical="center" wrapText="1"/>
    </xf>
    <xf numFmtId="178" fontId="35" fillId="35" borderId="60" xfId="155" applyNumberFormat="1" applyFont="1" applyFill="1" applyBorder="1" applyAlignment="1">
      <alignment horizontal="center" vertical="center" wrapText="1"/>
    </xf>
    <xf numFmtId="9" fontId="35" fillId="0" borderId="60" xfId="128" applyFont="1" applyBorder="1" applyAlignment="1">
      <alignment horizontal="center" vertical="center" wrapText="1"/>
    </xf>
    <xf numFmtId="0" fontId="35" fillId="24" borderId="60" xfId="153" applyFont="1" applyFill="1" applyBorder="1" applyAlignment="1">
      <alignment horizontal="center" vertical="center" wrapText="1"/>
    </xf>
    <xf numFmtId="167" fontId="35" fillId="0" borderId="0" xfId="154" applyNumberFormat="1" applyFont="1" applyFill="1" applyAlignment="1">
      <alignment horizontal="centerContinuous"/>
    </xf>
    <xf numFmtId="0" fontId="35" fillId="0" borderId="0" xfId="153" applyFont="1" applyAlignment="1">
      <alignment horizontal="centerContinuous"/>
    </xf>
    <xf numFmtId="178" fontId="117" fillId="0" borderId="0" xfId="155" applyNumberFormat="1" applyFont="1" applyFill="1" applyBorder="1" applyAlignment="1">
      <alignment horizontal="center" vertical="center" wrapText="1"/>
    </xf>
    <xf numFmtId="178" fontId="116" fillId="0" borderId="0" xfId="155" applyNumberFormat="1" applyFont="1" applyFill="1" applyBorder="1" applyAlignment="1">
      <alignment horizontal="center" vertical="center" wrapText="1"/>
    </xf>
    <xf numFmtId="0" fontId="117" fillId="0" borderId="21" xfId="153" applyFont="1" applyBorder="1" applyAlignment="1">
      <alignment horizontal="center" vertical="center" wrapText="1"/>
    </xf>
    <xf numFmtId="0" fontId="117" fillId="0" borderId="60" xfId="153" applyFont="1" applyBorder="1" applyAlignment="1">
      <alignment horizontal="center" vertical="center" wrapText="1"/>
    </xf>
    <xf numFmtId="178" fontId="116" fillId="0" borderId="0" xfId="155" applyNumberFormat="1" applyFont="1" applyFill="1"/>
    <xf numFmtId="0" fontId="35" fillId="0" borderId="0" xfId="153" quotePrefix="1" applyFont="1"/>
    <xf numFmtId="178" fontId="35" fillId="0" borderId="0" xfId="155" applyNumberFormat="1" applyFont="1"/>
    <xf numFmtId="177" fontId="116" fillId="0" borderId="0" xfId="155" applyFont="1" applyFill="1"/>
    <xf numFmtId="177" fontId="35" fillId="0" borderId="0" xfId="155" applyFont="1"/>
    <xf numFmtId="43" fontId="35" fillId="0" borderId="0" xfId="153" applyNumberFormat="1" applyFont="1"/>
    <xf numFmtId="10" fontId="35" fillId="0" borderId="0" xfId="156" applyNumberFormat="1" applyFont="1" applyFill="1" applyBorder="1"/>
    <xf numFmtId="43" fontId="35" fillId="0" borderId="60" xfId="153" applyNumberFormat="1" applyFont="1" applyBorder="1"/>
    <xf numFmtId="10" fontId="35" fillId="0" borderId="60" xfId="156" applyNumberFormat="1" applyFont="1" applyBorder="1"/>
    <xf numFmtId="180" fontId="35" fillId="0" borderId="27" xfId="155" applyNumberFormat="1" applyFont="1" applyBorder="1"/>
    <xf numFmtId="180" fontId="35" fillId="0" borderId="23" xfId="155" applyNumberFormat="1" applyFont="1" applyBorder="1"/>
    <xf numFmtId="10" fontId="116" fillId="28" borderId="21" xfId="156" quotePrefix="1" applyNumberFormat="1" applyFont="1" applyFill="1" applyBorder="1"/>
    <xf numFmtId="43" fontId="35" fillId="29" borderId="60" xfId="153" applyNumberFormat="1" applyFont="1" applyFill="1" applyBorder="1"/>
    <xf numFmtId="180" fontId="35" fillId="0" borderId="60" xfId="155" applyNumberFormat="1" applyFont="1" applyBorder="1" applyAlignment="1">
      <alignment horizontal="center" vertical="center" wrapText="1"/>
    </xf>
    <xf numFmtId="178" fontId="35" fillId="0" borderId="20" xfId="155" applyNumberFormat="1" applyFont="1" applyBorder="1" applyAlignment="1">
      <alignment horizontal="center" vertical="center" wrapText="1"/>
    </xf>
    <xf numFmtId="0" fontId="35" fillId="0" borderId="0" xfId="153" applyFont="1" applyAlignment="1">
      <alignment wrapText="1"/>
    </xf>
    <xf numFmtId="0" fontId="119" fillId="0" borderId="0" xfId="153" applyFont="1"/>
    <xf numFmtId="178" fontId="116" fillId="0" borderId="27" xfId="155" applyNumberFormat="1" applyFont="1" applyFill="1" applyBorder="1"/>
    <xf numFmtId="43" fontId="116" fillId="0" borderId="0" xfId="154" applyFont="1" applyFill="1"/>
    <xf numFmtId="179" fontId="35" fillId="0" borderId="27" xfId="154" applyNumberFormat="1" applyFont="1" applyBorder="1"/>
    <xf numFmtId="178" fontId="116" fillId="0" borderId="60" xfId="155" applyNumberFormat="1" applyFont="1" applyFill="1" applyBorder="1"/>
    <xf numFmtId="2" fontId="35" fillId="36" borderId="60" xfId="153" applyNumberFormat="1" applyFont="1" applyFill="1" applyBorder="1"/>
    <xf numFmtId="10" fontId="117" fillId="28" borderId="21" xfId="156" applyNumberFormat="1" applyFont="1" applyFill="1" applyBorder="1"/>
    <xf numFmtId="0" fontId="116" fillId="0" borderId="60" xfId="153" applyFont="1" applyBorder="1" applyAlignment="1">
      <alignment horizontal="center" vertical="center" wrapText="1"/>
    </xf>
    <xf numFmtId="6" fontId="120" fillId="0" borderId="0" xfId="155" applyNumberFormat="1" applyFont="1" applyBorder="1"/>
    <xf numFmtId="0" fontId="121" fillId="0" borderId="25" xfId="155" applyNumberFormat="1" applyFont="1" applyBorder="1"/>
    <xf numFmtId="0" fontId="121" fillId="0" borderId="25" xfId="153" applyFont="1" applyBorder="1"/>
    <xf numFmtId="0" fontId="121" fillId="0" borderId="0" xfId="155" applyNumberFormat="1" applyFont="1" applyBorder="1"/>
    <xf numFmtId="0" fontId="121" fillId="0" borderId="0" xfId="153" applyFont="1"/>
    <xf numFmtId="0" fontId="121" fillId="0" borderId="18" xfId="155" applyNumberFormat="1" applyFont="1" applyBorder="1"/>
    <xf numFmtId="0" fontId="121" fillId="0" borderId="18" xfId="153" applyFont="1" applyBorder="1"/>
    <xf numFmtId="6" fontId="120" fillId="0" borderId="0" xfId="155" quotePrefix="1" applyNumberFormat="1" applyFont="1" applyBorder="1"/>
    <xf numFmtId="6" fontId="120" fillId="29" borderId="60" xfId="155" applyNumberFormat="1" applyFont="1" applyFill="1" applyBorder="1"/>
    <xf numFmtId="0" fontId="120" fillId="29" borderId="60" xfId="153" applyFont="1" applyFill="1" applyBorder="1"/>
    <xf numFmtId="6" fontId="120" fillId="0" borderId="60" xfId="155" applyNumberFormat="1" applyFont="1" applyFill="1" applyBorder="1"/>
    <xf numFmtId="178" fontId="120" fillId="0" borderId="60" xfId="155" applyNumberFormat="1" applyFont="1" applyFill="1" applyBorder="1"/>
    <xf numFmtId="6" fontId="120" fillId="0" borderId="60" xfId="153" applyNumberFormat="1" applyFont="1" applyBorder="1"/>
    <xf numFmtId="0" fontId="120" fillId="0" borderId="60" xfId="153" applyFont="1" applyBorder="1"/>
    <xf numFmtId="6" fontId="120" fillId="0" borderId="60" xfId="155" applyNumberFormat="1" applyFont="1" applyBorder="1"/>
    <xf numFmtId="178" fontId="120" fillId="0" borderId="60" xfId="155" applyNumberFormat="1" applyFont="1" applyBorder="1"/>
    <xf numFmtId="0" fontId="120" fillId="0" borderId="0" xfId="153" applyFont="1"/>
    <xf numFmtId="177" fontId="120" fillId="0" borderId="60" xfId="155" applyFont="1" applyBorder="1"/>
    <xf numFmtId="4" fontId="2" fillId="0" borderId="0" xfId="140" applyNumberFormat="1"/>
    <xf numFmtId="0" fontId="122" fillId="0" borderId="0" xfId="140" applyFont="1"/>
    <xf numFmtId="182" fontId="2" fillId="0" borderId="0" xfId="140" applyNumberFormat="1"/>
    <xf numFmtId="0" fontId="2" fillId="0" borderId="0" xfId="140" applyAlignment="1">
      <alignment horizontal="right"/>
    </xf>
    <xf numFmtId="2" fontId="2" fillId="0" borderId="0" xfId="140" applyNumberFormat="1"/>
    <xf numFmtId="175" fontId="122" fillId="0" borderId="0" xfId="140" applyNumberFormat="1" applyFont="1"/>
    <xf numFmtId="10" fontId="122" fillId="0" borderId="0" xfId="140" applyNumberFormat="1" applyFont="1"/>
    <xf numFmtId="166" fontId="122" fillId="0" borderId="0" xfId="140" applyNumberFormat="1" applyFont="1"/>
    <xf numFmtId="3" fontId="122" fillId="0" borderId="0" xfId="140" applyNumberFormat="1" applyFont="1"/>
    <xf numFmtId="4" fontId="2" fillId="29" borderId="0" xfId="140" applyNumberFormat="1" applyFill="1"/>
    <xf numFmtId="0" fontId="2" fillId="0" borderId="0" xfId="140" applyAlignment="1">
      <alignment horizontal="center"/>
    </xf>
    <xf numFmtId="10" fontId="0" fillId="0" borderId="0" xfId="157" applyNumberFormat="1" applyFont="1"/>
    <xf numFmtId="39" fontId="2" fillId="0" borderId="0" xfId="140" applyNumberFormat="1"/>
    <xf numFmtId="43" fontId="2" fillId="0" borderId="0" xfId="140" applyNumberFormat="1"/>
    <xf numFmtId="183" fontId="0" fillId="0" borderId="0" xfId="158" applyNumberFormat="1" applyFont="1" applyFill="1"/>
    <xf numFmtId="183" fontId="2" fillId="0" borderId="0" xfId="140" applyNumberFormat="1"/>
    <xf numFmtId="10" fontId="2" fillId="0" borderId="0" xfId="140" applyNumberFormat="1"/>
    <xf numFmtId="184" fontId="2" fillId="0" borderId="0" xfId="140" applyNumberFormat="1"/>
    <xf numFmtId="0" fontId="10" fillId="0" borderId="0" xfId="140" applyFont="1"/>
    <xf numFmtId="3" fontId="2" fillId="0" borderId="0" xfId="140" applyNumberFormat="1"/>
    <xf numFmtId="37" fontId="2" fillId="0" borderId="0" xfId="140" applyNumberFormat="1"/>
    <xf numFmtId="183" fontId="0" fillId="0" borderId="0" xfId="158" applyNumberFormat="1" applyFont="1"/>
    <xf numFmtId="39" fontId="0" fillId="0" borderId="0" xfId="158" applyNumberFormat="1" applyFont="1" applyAlignment="1">
      <alignment horizontal="center"/>
    </xf>
    <xf numFmtId="43" fontId="2" fillId="0" borderId="0" xfId="140" applyNumberFormat="1" applyAlignment="1">
      <alignment horizontal="center"/>
    </xf>
    <xf numFmtId="167" fontId="2" fillId="0" borderId="0" xfId="140" applyNumberFormat="1" applyAlignment="1">
      <alignment horizontal="center"/>
    </xf>
    <xf numFmtId="3" fontId="2" fillId="0" borderId="0" xfId="140" applyNumberFormat="1" applyAlignment="1">
      <alignment horizontal="center"/>
    </xf>
    <xf numFmtId="0" fontId="10" fillId="0" borderId="0" xfId="140" applyFont="1" applyAlignment="1">
      <alignment horizontal="center"/>
    </xf>
    <xf numFmtId="0" fontId="40" fillId="0" borderId="0" xfId="140" applyFont="1"/>
    <xf numFmtId="10" fontId="2" fillId="0" borderId="0" xfId="140" applyNumberFormat="1" applyAlignment="1">
      <alignment horizontal="center"/>
    </xf>
    <xf numFmtId="0" fontId="2" fillId="0" borderId="0" xfId="140" applyAlignment="1">
      <alignment vertical="top"/>
    </xf>
    <xf numFmtId="0" fontId="122" fillId="37" borderId="0" xfId="140" applyFont="1" applyFill="1"/>
    <xf numFmtId="0" fontId="58" fillId="37" borderId="0" xfId="140" applyFont="1" applyFill="1" applyAlignment="1">
      <alignment horizontal="left" vertical="center" indent="4"/>
    </xf>
    <xf numFmtId="0" fontId="123" fillId="0" borderId="0" xfId="140" applyFont="1" applyAlignment="1">
      <alignment vertical="center"/>
    </xf>
    <xf numFmtId="0" fontId="58" fillId="37" borderId="0" xfId="140" applyFont="1" applyFill="1" applyAlignment="1">
      <alignment horizontal="left" vertical="center" indent="7"/>
    </xf>
    <xf numFmtId="0" fontId="58" fillId="37" borderId="0" xfId="140" applyFont="1" applyFill="1" applyAlignment="1">
      <alignment vertical="center"/>
    </xf>
    <xf numFmtId="0" fontId="122" fillId="37" borderId="0" xfId="140" applyFont="1" applyFill="1" applyAlignment="1">
      <alignment vertical="center" wrapText="1"/>
    </xf>
    <xf numFmtId="0" fontId="58" fillId="37" borderId="13" xfId="140" applyFont="1" applyFill="1" applyBorder="1" applyAlignment="1">
      <alignment horizontal="right" vertical="center"/>
    </xf>
    <xf numFmtId="0" fontId="58" fillId="37" borderId="11" xfId="140" applyFont="1" applyFill="1" applyBorder="1" applyAlignment="1">
      <alignment horizontal="center" vertical="center"/>
    </xf>
    <xf numFmtId="0" fontId="58" fillId="37" borderId="15" xfId="140" applyFont="1" applyFill="1" applyBorder="1" applyAlignment="1">
      <alignment horizontal="center" vertical="center"/>
    </xf>
    <xf numFmtId="0" fontId="122" fillId="37" borderId="11" xfId="140" applyFont="1" applyFill="1" applyBorder="1" applyAlignment="1">
      <alignment vertical="center"/>
    </xf>
    <xf numFmtId="0" fontId="58" fillId="37" borderId="16" xfId="140" applyFont="1" applyFill="1" applyBorder="1" applyAlignment="1">
      <alignment horizontal="center" vertical="center"/>
    </xf>
    <xf numFmtId="0" fontId="58" fillId="37" borderId="10" xfId="140" applyFont="1" applyFill="1" applyBorder="1" applyAlignment="1">
      <alignment vertical="center"/>
    </xf>
    <xf numFmtId="0" fontId="58" fillId="37" borderId="35" xfId="140" applyFont="1" applyFill="1" applyBorder="1" applyAlignment="1">
      <alignment vertical="center"/>
    </xf>
    <xf numFmtId="0" fontId="58" fillId="37" borderId="14" xfId="140" applyFont="1" applyFill="1" applyBorder="1" applyAlignment="1">
      <alignment vertical="center"/>
    </xf>
    <xf numFmtId="0" fontId="122" fillId="37" borderId="0" xfId="140" applyFont="1" applyFill="1" applyAlignment="1">
      <alignment vertical="center"/>
    </xf>
    <xf numFmtId="0" fontId="124" fillId="37" borderId="0" xfId="140" applyFont="1" applyFill="1" applyAlignment="1">
      <alignment horizontal="left" vertical="center" indent="9"/>
    </xf>
    <xf numFmtId="0" fontId="125" fillId="37" borderId="0" xfId="140" applyFont="1" applyFill="1" applyAlignment="1">
      <alignment horizontal="left" vertical="center" indent="12"/>
    </xf>
    <xf numFmtId="0" fontId="126" fillId="37" borderId="0" xfId="140" applyFont="1" applyFill="1" applyAlignment="1">
      <alignment horizontal="left" vertical="center" indent="12"/>
    </xf>
    <xf numFmtId="10" fontId="58" fillId="37" borderId="13" xfId="140" applyNumberFormat="1" applyFont="1" applyFill="1" applyBorder="1" applyAlignment="1">
      <alignment horizontal="right" vertical="center" wrapText="1"/>
    </xf>
    <xf numFmtId="0" fontId="58" fillId="37" borderId="11" xfId="140" applyFont="1" applyFill="1" applyBorder="1" applyAlignment="1">
      <alignment vertical="center" wrapText="1"/>
    </xf>
    <xf numFmtId="0" fontId="58" fillId="37" borderId="13" xfId="140" applyFont="1" applyFill="1" applyBorder="1" applyAlignment="1">
      <alignment horizontal="right" vertical="center" wrapText="1"/>
    </xf>
    <xf numFmtId="3" fontId="58" fillId="37" borderId="13" xfId="140" applyNumberFormat="1" applyFont="1" applyFill="1" applyBorder="1" applyAlignment="1">
      <alignment horizontal="right" vertical="center" wrapText="1"/>
    </xf>
    <xf numFmtId="0" fontId="58" fillId="37" borderId="10" xfId="140" applyFont="1" applyFill="1" applyBorder="1" applyAlignment="1">
      <alignment horizontal="right" vertical="center" wrapText="1"/>
    </xf>
    <xf numFmtId="0" fontId="58" fillId="37" borderId="12" xfId="140" applyFont="1" applyFill="1" applyBorder="1" applyAlignment="1">
      <alignment vertical="center" wrapText="1"/>
    </xf>
    <xf numFmtId="0" fontId="43" fillId="37" borderId="0" xfId="140" applyFont="1" applyFill="1"/>
    <xf numFmtId="0" fontId="42" fillId="37" borderId="0" xfId="140" applyFont="1" applyFill="1"/>
    <xf numFmtId="0" fontId="105" fillId="0" borderId="0" xfId="140" applyFont="1"/>
    <xf numFmtId="185" fontId="2" fillId="0" borderId="0" xfId="140" applyNumberFormat="1"/>
    <xf numFmtId="9" fontId="128" fillId="0" borderId="0" xfId="140" applyNumberFormat="1" applyFont="1"/>
    <xf numFmtId="14" fontId="2" fillId="0" borderId="0" xfId="140" applyNumberFormat="1"/>
    <xf numFmtId="0" fontId="128" fillId="0" borderId="0" xfId="140" applyFont="1"/>
    <xf numFmtId="3" fontId="128" fillId="0" borderId="0" xfId="140" applyNumberFormat="1" applyFont="1"/>
    <xf numFmtId="14" fontId="128" fillId="0" borderId="0" xfId="140" applyNumberFormat="1" applyFont="1"/>
    <xf numFmtId="0" fontId="2" fillId="0" borderId="60" xfId="140" applyBorder="1"/>
    <xf numFmtId="10" fontId="128" fillId="0" borderId="0" xfId="157" applyNumberFormat="1" applyFont="1"/>
    <xf numFmtId="0" fontId="76" fillId="0" borderId="0" xfId="148" applyFont="1" applyAlignment="1">
      <alignment vertical="center"/>
    </xf>
    <xf numFmtId="0" fontId="51" fillId="0" borderId="0" xfId="148" applyFont="1"/>
    <xf numFmtId="0" fontId="76" fillId="25" borderId="0" xfId="148" applyFont="1" applyFill="1" applyAlignment="1">
      <alignment vertical="center"/>
    </xf>
    <xf numFmtId="0" fontId="51" fillId="25" borderId="0" xfId="148" applyFont="1" applyFill="1"/>
    <xf numFmtId="0" fontId="50" fillId="25" borderId="0" xfId="148" applyFont="1" applyFill="1"/>
    <xf numFmtId="0" fontId="52" fillId="25" borderId="0" xfId="148" applyFont="1" applyFill="1"/>
    <xf numFmtId="0" fontId="129" fillId="25" borderId="0" xfId="148" applyFont="1" applyFill="1" applyAlignment="1">
      <alignment vertical="center"/>
    </xf>
    <xf numFmtId="0" fontId="130" fillId="25" borderId="12" xfId="148" applyFont="1" applyFill="1" applyBorder="1" applyAlignment="1">
      <alignment vertical="center" wrapText="1"/>
    </xf>
    <xf numFmtId="0" fontId="130" fillId="25" borderId="10" xfId="148" applyFont="1" applyFill="1" applyBorder="1" applyAlignment="1">
      <alignment vertical="center" wrapText="1"/>
    </xf>
    <xf numFmtId="0" fontId="129" fillId="25" borderId="11" xfId="148" applyFont="1" applyFill="1" applyBorder="1" applyAlignment="1">
      <alignment vertical="center" wrapText="1"/>
    </xf>
    <xf numFmtId="0" fontId="129" fillId="25" borderId="13" xfId="148" applyFont="1" applyFill="1" applyBorder="1" applyAlignment="1">
      <alignment vertical="center" wrapText="1"/>
    </xf>
    <xf numFmtId="3" fontId="129" fillId="25" borderId="13" xfId="148" applyNumberFormat="1" applyFont="1" applyFill="1" applyBorder="1" applyAlignment="1">
      <alignment horizontal="center" vertical="center" wrapText="1"/>
    </xf>
    <xf numFmtId="0" fontId="129" fillId="25" borderId="13" xfId="148" applyFont="1" applyFill="1" applyBorder="1" applyAlignment="1">
      <alignment horizontal="center" vertical="center" wrapText="1"/>
    </xf>
    <xf numFmtId="0" fontId="87" fillId="25" borderId="0" xfId="148" applyFont="1" applyFill="1" applyAlignment="1">
      <alignment horizontal="left" vertical="center" indent="9"/>
    </xf>
    <xf numFmtId="0" fontId="76" fillId="25" borderId="0" xfId="148" applyFont="1" applyFill="1" applyAlignment="1">
      <alignment horizontal="left" vertical="center" indent="9"/>
    </xf>
    <xf numFmtId="0" fontId="76" fillId="25" borderId="0" xfId="148" applyFont="1" applyFill="1" applyAlignment="1">
      <alignment horizontal="left" vertical="center" indent="4"/>
    </xf>
    <xf numFmtId="0" fontId="76" fillId="25" borderId="12" xfId="148" applyFont="1" applyFill="1" applyBorder="1" applyAlignment="1">
      <alignment vertical="center" wrapText="1"/>
    </xf>
    <xf numFmtId="0" fontId="76" fillId="25" borderId="11" xfId="148" applyFont="1" applyFill="1" applyBorder="1" applyAlignment="1">
      <alignment vertical="center" wrapText="1"/>
    </xf>
    <xf numFmtId="0" fontId="76" fillId="25" borderId="13" xfId="148" applyFont="1" applyFill="1" applyBorder="1" applyAlignment="1">
      <alignment horizontal="center" vertical="center" wrapText="1"/>
    </xf>
    <xf numFmtId="0" fontId="76" fillId="25" borderId="13" xfId="148" applyFont="1" applyFill="1" applyBorder="1" applyAlignment="1">
      <alignment horizontal="right" vertical="center" wrapText="1"/>
    </xf>
    <xf numFmtId="3" fontId="76" fillId="25" borderId="13" xfId="148" applyNumberFormat="1" applyFont="1" applyFill="1" applyBorder="1" applyAlignment="1">
      <alignment horizontal="right" vertical="center" wrapText="1"/>
    </xf>
    <xf numFmtId="0" fontId="76" fillId="25" borderId="10" xfId="148" applyFont="1" applyFill="1" applyBorder="1" applyAlignment="1">
      <alignment vertical="center" wrapText="1"/>
    </xf>
    <xf numFmtId="3" fontId="76" fillId="25" borderId="13" xfId="148" applyNumberFormat="1" applyFont="1" applyFill="1" applyBorder="1" applyAlignment="1">
      <alignment vertical="center" wrapText="1"/>
    </xf>
    <xf numFmtId="10" fontId="76" fillId="25" borderId="13" xfId="148" applyNumberFormat="1" applyFont="1" applyFill="1" applyBorder="1" applyAlignment="1">
      <alignment vertical="center" wrapText="1"/>
    </xf>
    <xf numFmtId="0" fontId="76" fillId="0" borderId="0" xfId="148" applyFont="1" applyAlignment="1">
      <alignment horizontal="left" vertical="center" indent="9"/>
    </xf>
    <xf numFmtId="0" fontId="51" fillId="25" borderId="12" xfId="148" applyFont="1" applyFill="1" applyBorder="1" applyAlignment="1">
      <alignment vertical="center"/>
    </xf>
    <xf numFmtId="0" fontId="86" fillId="25" borderId="10" xfId="148" applyFont="1" applyFill="1" applyBorder="1" applyAlignment="1">
      <alignment vertical="center"/>
    </xf>
    <xf numFmtId="0" fontId="76" fillId="25" borderId="11" xfId="148" applyFont="1" applyFill="1" applyBorder="1" applyAlignment="1">
      <alignment vertical="center"/>
    </xf>
    <xf numFmtId="176" fontId="76" fillId="25" borderId="13" xfId="151" applyNumberFormat="1" applyFont="1" applyFill="1" applyBorder="1" applyAlignment="1">
      <alignment horizontal="right" vertical="center"/>
    </xf>
    <xf numFmtId="0" fontId="86" fillId="25" borderId="0" xfId="148" applyFont="1" applyFill="1" applyAlignment="1">
      <alignment vertical="center"/>
    </xf>
    <xf numFmtId="0" fontId="36" fillId="0" borderId="0" xfId="148" applyFont="1"/>
    <xf numFmtId="0" fontId="36" fillId="25" borderId="0" xfId="148" applyFont="1" applyFill="1" applyAlignment="1">
      <alignment horizontal="left" vertical="center" indent="5"/>
    </xf>
    <xf numFmtId="3" fontId="36" fillId="25" borderId="13" xfId="148" applyNumberFormat="1" applyFont="1" applyFill="1" applyBorder="1" applyAlignment="1">
      <alignment horizontal="center" vertical="center" wrapText="1"/>
    </xf>
    <xf numFmtId="10" fontId="36" fillId="25" borderId="13" xfId="148" applyNumberFormat="1" applyFont="1" applyFill="1" applyBorder="1" applyAlignment="1">
      <alignment horizontal="center" vertical="center" wrapText="1"/>
    </xf>
    <xf numFmtId="10" fontId="36" fillId="25" borderId="10" xfId="148" applyNumberFormat="1" applyFont="1" applyFill="1" applyBorder="1" applyAlignment="1">
      <alignment horizontal="center" vertical="center" wrapText="1"/>
    </xf>
    <xf numFmtId="0" fontId="36" fillId="0" borderId="0" xfId="148" applyFont="1" applyAlignment="1">
      <alignment horizontal="left" vertical="center" indent="4"/>
    </xf>
    <xf numFmtId="0" fontId="36" fillId="25" borderId="0" xfId="148" applyFont="1" applyFill="1" applyAlignment="1">
      <alignment horizontal="left" vertical="center"/>
    </xf>
    <xf numFmtId="0" fontId="64" fillId="0" borderId="0" xfId="148" applyFont="1" applyAlignment="1">
      <alignment vertical="center"/>
    </xf>
    <xf numFmtId="0" fontId="36" fillId="25" borderId="13" xfId="148" applyFont="1" applyFill="1" applyBorder="1" applyAlignment="1">
      <alignment horizontal="center" vertical="center"/>
    </xf>
    <xf numFmtId="0" fontId="36" fillId="25" borderId="12" xfId="148" applyFont="1" applyFill="1" applyBorder="1" applyAlignment="1">
      <alignment horizontal="center" vertical="center"/>
    </xf>
    <xf numFmtId="9" fontId="36" fillId="25" borderId="13" xfId="148" applyNumberFormat="1" applyFont="1" applyFill="1" applyBorder="1" applyAlignment="1">
      <alignment horizontal="center" vertical="center"/>
    </xf>
    <xf numFmtId="9" fontId="58" fillId="25" borderId="13" xfId="148" applyNumberFormat="1" applyFont="1" applyFill="1" applyBorder="1" applyAlignment="1">
      <alignment horizontal="center" vertical="center"/>
    </xf>
    <xf numFmtId="0" fontId="58" fillId="25" borderId="11" xfId="148" applyFont="1" applyFill="1" applyBorder="1" applyAlignment="1">
      <alignment vertical="center"/>
    </xf>
    <xf numFmtId="10" fontId="58" fillId="25" borderId="13" xfId="148" applyNumberFormat="1" applyFont="1" applyFill="1" applyBorder="1" applyAlignment="1">
      <alignment horizontal="center" vertical="center"/>
    </xf>
    <xf numFmtId="0" fontId="58" fillId="25" borderId="13" xfId="148" applyFont="1" applyFill="1" applyBorder="1" applyAlignment="1">
      <alignment horizontal="center" vertical="center"/>
    </xf>
    <xf numFmtId="3" fontId="58" fillId="25" borderId="13" xfId="148" applyNumberFormat="1" applyFont="1" applyFill="1" applyBorder="1" applyAlignment="1">
      <alignment horizontal="center" vertical="center"/>
    </xf>
    <xf numFmtId="3" fontId="58" fillId="25" borderId="10" xfId="148" applyNumberFormat="1" applyFont="1" applyFill="1" applyBorder="1" applyAlignment="1">
      <alignment horizontal="center" vertical="center"/>
    </xf>
    <xf numFmtId="0" fontId="58" fillId="25" borderId="12" xfId="148" applyFont="1" applyFill="1" applyBorder="1" applyAlignment="1">
      <alignment vertical="center"/>
    </xf>
    <xf numFmtId="3" fontId="36" fillId="25" borderId="0" xfId="148" applyNumberFormat="1" applyFont="1" applyFill="1"/>
    <xf numFmtId="0" fontId="36" fillId="25" borderId="0" xfId="148" applyFont="1" applyFill="1" applyAlignment="1">
      <alignment horizontal="left" vertical="center" indent="1"/>
    </xf>
    <xf numFmtId="0" fontId="2" fillId="25" borderId="13" xfId="148" applyFill="1" applyBorder="1"/>
    <xf numFmtId="9" fontId="66" fillId="25" borderId="64" xfId="148" applyNumberFormat="1" applyFont="1" applyFill="1" applyBorder="1" applyAlignment="1">
      <alignment horizontal="center" vertical="center" wrapText="1"/>
    </xf>
    <xf numFmtId="0" fontId="133" fillId="25" borderId="65" xfId="148" applyFont="1" applyFill="1" applyBorder="1" applyAlignment="1">
      <alignment horizontal="center" vertical="center" wrapText="1"/>
    </xf>
    <xf numFmtId="0" fontId="35" fillId="25" borderId="11" xfId="148" applyFont="1" applyFill="1" applyBorder="1" applyAlignment="1">
      <alignment vertical="center" wrapText="1"/>
    </xf>
    <xf numFmtId="0" fontId="2" fillId="25" borderId="28" xfId="148" applyFill="1" applyBorder="1"/>
    <xf numFmtId="9" fontId="66" fillId="25" borderId="66" xfId="148" applyNumberFormat="1" applyFont="1" applyFill="1" applyBorder="1" applyAlignment="1">
      <alignment horizontal="center" vertical="center" wrapText="1"/>
    </xf>
    <xf numFmtId="0" fontId="133" fillId="25" borderId="67" xfId="148" applyFont="1" applyFill="1" applyBorder="1" applyAlignment="1">
      <alignment horizontal="center" vertical="center" wrapText="1"/>
    </xf>
    <xf numFmtId="0" fontId="117" fillId="25" borderId="28" xfId="148" applyFont="1" applyFill="1" applyBorder="1" applyAlignment="1">
      <alignment vertical="center" wrapText="1"/>
    </xf>
    <xf numFmtId="0" fontId="117" fillId="25" borderId="0" xfId="148" applyFont="1" applyFill="1" applyAlignment="1">
      <alignment vertical="center" wrapText="1"/>
    </xf>
    <xf numFmtId="10" fontId="66" fillId="25" borderId="68" xfId="148" applyNumberFormat="1" applyFont="1" applyFill="1" applyBorder="1" applyAlignment="1">
      <alignment horizontal="center" vertical="center"/>
    </xf>
    <xf numFmtId="0" fontId="66" fillId="25" borderId="69" xfId="148" applyFont="1" applyFill="1" applyBorder="1" applyAlignment="1">
      <alignment horizontal="center" vertical="center"/>
    </xf>
    <xf numFmtId="10" fontId="66" fillId="25" borderId="70" xfId="148" applyNumberFormat="1" applyFont="1" applyFill="1" applyBorder="1" applyAlignment="1">
      <alignment horizontal="center" vertical="center"/>
    </xf>
    <xf numFmtId="0" fontId="66" fillId="25" borderId="71" xfId="148" applyFont="1" applyFill="1" applyBorder="1" applyAlignment="1">
      <alignment horizontal="center" vertical="center"/>
    </xf>
    <xf numFmtId="0" fontId="117" fillId="25" borderId="0" xfId="148" applyFont="1" applyFill="1" applyAlignment="1">
      <alignment vertical="center"/>
    </xf>
    <xf numFmtId="10" fontId="2" fillId="25" borderId="0" xfId="148" applyNumberFormat="1" applyFill="1"/>
    <xf numFmtId="0" fontId="35" fillId="25" borderId="12" xfId="148" applyFont="1" applyFill="1" applyBorder="1" applyAlignment="1">
      <alignment vertical="center" wrapText="1"/>
    </xf>
    <xf numFmtId="0" fontId="2" fillId="25" borderId="60" xfId="148" applyFill="1" applyBorder="1"/>
    <xf numFmtId="0" fontId="65" fillId="25" borderId="60" xfId="148" applyFont="1" applyFill="1" applyBorder="1" applyAlignment="1">
      <alignment horizontal="left" vertical="center" indent="9"/>
    </xf>
    <xf numFmtId="0" fontId="36" fillId="25" borderId="60" xfId="148" applyFont="1" applyFill="1" applyBorder="1"/>
    <xf numFmtId="0" fontId="58" fillId="25" borderId="0" xfId="148" applyFont="1" applyFill="1" applyAlignment="1">
      <alignment horizontal="left" vertical="center"/>
    </xf>
    <xf numFmtId="0" fontId="58" fillId="25" borderId="0" xfId="148" applyFont="1" applyFill="1" applyAlignment="1">
      <alignment horizontal="center" vertical="center"/>
    </xf>
    <xf numFmtId="0" fontId="36" fillId="25" borderId="0" xfId="148" applyFont="1" applyFill="1" applyAlignment="1">
      <alignment horizontal="left" vertical="center" indent="3"/>
    </xf>
    <xf numFmtId="0" fontId="58" fillId="0" borderId="0" xfId="148" applyFont="1" applyAlignment="1">
      <alignment horizontal="left" vertical="center" indent="4"/>
    </xf>
    <xf numFmtId="0" fontId="58" fillId="25" borderId="0" xfId="148" applyFont="1" applyFill="1" applyAlignment="1">
      <alignment horizontal="left" vertical="center" indent="4"/>
    </xf>
    <xf numFmtId="0" fontId="36" fillId="25" borderId="13" xfId="148" applyFont="1" applyFill="1" applyBorder="1" applyAlignment="1">
      <alignment vertical="center"/>
    </xf>
    <xf numFmtId="0" fontId="36" fillId="25" borderId="12" xfId="148" applyFont="1" applyFill="1" applyBorder="1" applyAlignment="1">
      <alignment vertical="center"/>
    </xf>
    <xf numFmtId="3" fontId="36" fillId="25" borderId="60" xfId="148" applyNumberFormat="1" applyFont="1" applyFill="1" applyBorder="1"/>
    <xf numFmtId="0" fontId="10" fillId="0" borderId="0" xfId="159"/>
    <xf numFmtId="167" fontId="0" fillId="38" borderId="0" xfId="107" applyNumberFormat="1" applyFont="1" applyFill="1"/>
    <xf numFmtId="0" fontId="10" fillId="38" borderId="0" xfId="159" applyFill="1"/>
    <xf numFmtId="9" fontId="0" fillId="38" borderId="0" xfId="128" applyFont="1" applyFill="1"/>
    <xf numFmtId="167" fontId="0" fillId="39" borderId="0" xfId="107" applyNumberFormat="1" applyFont="1" applyFill="1"/>
    <xf numFmtId="14" fontId="10" fillId="38" borderId="0" xfId="159" applyNumberFormat="1" applyFill="1"/>
    <xf numFmtId="169" fontId="10" fillId="0" borderId="0" xfId="159" applyNumberFormat="1"/>
    <xf numFmtId="170" fontId="10" fillId="0" borderId="0" xfId="159" applyNumberFormat="1"/>
    <xf numFmtId="186" fontId="0" fillId="38" borderId="0" xfId="160" applyNumberFormat="1" applyFont="1" applyFill="1" applyAlignment="1"/>
    <xf numFmtId="0" fontId="10" fillId="0" borderId="0" xfId="159" applyAlignment="1">
      <alignment horizontal="left"/>
    </xf>
    <xf numFmtId="0" fontId="40" fillId="0" borderId="0" xfId="159" applyFont="1" applyAlignment="1">
      <alignment horizontal="left"/>
    </xf>
    <xf numFmtId="10" fontId="0" fillId="0" borderId="0" xfId="128" applyNumberFormat="1" applyFont="1"/>
    <xf numFmtId="10" fontId="10" fillId="0" borderId="0" xfId="159" applyNumberFormat="1"/>
    <xf numFmtId="167" fontId="10" fillId="0" borderId="0" xfId="159" applyNumberFormat="1"/>
    <xf numFmtId="9" fontId="10" fillId="0" borderId="0" xfId="159" applyNumberFormat="1"/>
    <xf numFmtId="14" fontId="10" fillId="0" borderId="0" xfId="159" applyNumberFormat="1"/>
    <xf numFmtId="0" fontId="40" fillId="0" borderId="0" xfId="159" applyFont="1"/>
    <xf numFmtId="0" fontId="134" fillId="0" borderId="0" xfId="148" applyFont="1"/>
    <xf numFmtId="44" fontId="105" fillId="29" borderId="0" xfId="148" applyNumberFormat="1" applyFont="1" applyFill="1"/>
    <xf numFmtId="0" fontId="105" fillId="29" borderId="0" xfId="148" applyFont="1" applyFill="1"/>
    <xf numFmtId="44" fontId="2" fillId="0" borderId="0" xfId="148" applyNumberFormat="1"/>
    <xf numFmtId="169" fontId="2" fillId="0" borderId="0" xfId="148" applyNumberFormat="1"/>
    <xf numFmtId="168" fontId="0" fillId="0" borderId="0" xfId="128" applyNumberFormat="1" applyFont="1"/>
    <xf numFmtId="44" fontId="0" fillId="0" borderId="0" xfId="111" applyFont="1"/>
    <xf numFmtId="14" fontId="134" fillId="0" borderId="0" xfId="148" applyNumberFormat="1" applyFont="1"/>
    <xf numFmtId="0" fontId="2" fillId="0" borderId="0" xfId="148" applyAlignment="1">
      <alignment wrapText="1"/>
    </xf>
    <xf numFmtId="0" fontId="10" fillId="0" borderId="0" xfId="148" applyFont="1" applyAlignment="1">
      <alignment wrapText="1"/>
    </xf>
    <xf numFmtId="0" fontId="134" fillId="0" borderId="0" xfId="148" applyFont="1" applyAlignment="1">
      <alignment wrapText="1"/>
    </xf>
    <xf numFmtId="0" fontId="135" fillId="40" borderId="0" xfId="148" applyFont="1" applyFill="1"/>
    <xf numFmtId="0" fontId="10" fillId="0" borderId="0" xfId="148" applyFont="1"/>
    <xf numFmtId="165" fontId="92" fillId="0" borderId="72" xfId="128" applyNumberFormat="1" applyFont="1" applyBorder="1" applyAlignment="1">
      <alignment horizontal="center"/>
    </xf>
    <xf numFmtId="0" fontId="92" fillId="0" borderId="73" xfId="148" applyFont="1" applyBorder="1" applyAlignment="1">
      <alignment horizontal="center"/>
    </xf>
    <xf numFmtId="0" fontId="92" fillId="0" borderId="74" xfId="148" applyFont="1" applyBorder="1" applyAlignment="1">
      <alignment horizontal="center"/>
    </xf>
    <xf numFmtId="165" fontId="92" fillId="0" borderId="75" xfId="128" applyNumberFormat="1" applyFont="1" applyBorder="1" applyAlignment="1">
      <alignment horizontal="center"/>
    </xf>
    <xf numFmtId="0" fontId="92" fillId="0" borderId="76" xfId="148" applyFont="1" applyBorder="1" applyAlignment="1">
      <alignment horizontal="center"/>
    </xf>
    <xf numFmtId="0" fontId="92" fillId="0" borderId="77" xfId="148" applyFont="1" applyBorder="1" applyAlignment="1">
      <alignment horizontal="center"/>
    </xf>
    <xf numFmtId="9" fontId="36" fillId="0" borderId="78" xfId="148" applyNumberFormat="1" applyFont="1" applyBorder="1" applyAlignment="1">
      <alignment horizontal="center" vertical="center" wrapText="1"/>
    </xf>
    <xf numFmtId="0" fontId="64" fillId="0" borderId="79" xfId="148" applyFont="1" applyBorder="1" applyAlignment="1">
      <alignment horizontal="center" vertical="center" wrapText="1"/>
    </xf>
    <xf numFmtId="9" fontId="36" fillId="0" borderId="80" xfId="148" applyNumberFormat="1" applyFont="1" applyBorder="1" applyAlignment="1">
      <alignment horizontal="center" vertical="center" wrapText="1"/>
    </xf>
    <xf numFmtId="0" fontId="64" fillId="0" borderId="81" xfId="148" applyFont="1" applyBorder="1" applyAlignment="1">
      <alignment horizontal="center" vertical="center" wrapText="1"/>
    </xf>
    <xf numFmtId="9" fontId="61" fillId="0" borderId="0" xfId="148" applyNumberFormat="1" applyFont="1" applyAlignment="1">
      <alignment horizontal="center" vertical="center" wrapText="1"/>
    </xf>
    <xf numFmtId="9" fontId="92" fillId="0" borderId="82" xfId="148" applyNumberFormat="1" applyFont="1" applyBorder="1"/>
    <xf numFmtId="9" fontId="92" fillId="0" borderId="83" xfId="148" applyNumberFormat="1" applyFont="1" applyBorder="1"/>
    <xf numFmtId="10" fontId="92" fillId="0" borderId="84" xfId="148" applyNumberFormat="1" applyFont="1" applyBorder="1" applyAlignment="1">
      <alignment horizontal="center"/>
    </xf>
    <xf numFmtId="0" fontId="63" fillId="0" borderId="0" xfId="148" applyFont="1" applyAlignment="1">
      <alignment horizontal="center" vertical="center" wrapText="1"/>
    </xf>
    <xf numFmtId="0" fontId="136" fillId="41" borderId="80" xfId="148" applyFont="1" applyFill="1" applyBorder="1" applyAlignment="1">
      <alignment horizontal="center" vertical="center" wrapText="1"/>
    </xf>
    <xf numFmtId="0" fontId="136" fillId="41" borderId="81" xfId="148" applyFont="1" applyFill="1" applyBorder="1" applyAlignment="1">
      <alignment horizontal="center" vertical="center" wrapText="1"/>
    </xf>
    <xf numFmtId="0" fontId="137" fillId="42" borderId="85" xfId="148" applyFont="1" applyFill="1" applyBorder="1" applyAlignment="1">
      <alignment horizontal="center" wrapText="1"/>
    </xf>
    <xf numFmtId="0" fontId="137" fillId="42" borderId="86" xfId="148" applyFont="1" applyFill="1" applyBorder="1" applyAlignment="1">
      <alignment horizontal="center" wrapText="1"/>
    </xf>
    <xf numFmtId="0" fontId="137" fillId="42" borderId="87" xfId="148" applyFont="1" applyFill="1" applyBorder="1" applyAlignment="1">
      <alignment horizontal="center" wrapText="1"/>
    </xf>
    <xf numFmtId="0" fontId="137" fillId="43" borderId="75" xfId="148" applyFont="1" applyFill="1" applyBorder="1" applyAlignment="1">
      <alignment horizontal="center" wrapText="1"/>
    </xf>
    <xf numFmtId="0" fontId="137" fillId="43" borderId="76" xfId="148" applyFont="1" applyFill="1" applyBorder="1" applyAlignment="1">
      <alignment horizontal="center" wrapText="1"/>
    </xf>
    <xf numFmtId="0" fontId="137" fillId="43" borderId="77" xfId="148" applyFont="1" applyFill="1" applyBorder="1" applyAlignment="1">
      <alignment horizontal="center"/>
    </xf>
    <xf numFmtId="0" fontId="135" fillId="44" borderId="0" xfId="148" applyFont="1" applyFill="1"/>
    <xf numFmtId="0" fontId="87" fillId="25" borderId="60" xfId="148" applyFont="1" applyFill="1" applyBorder="1" applyAlignment="1">
      <alignment horizontal="left" vertical="center" indent="9"/>
    </xf>
    <xf numFmtId="0" fontId="51" fillId="25" borderId="60" xfId="148" applyFont="1" applyFill="1" applyBorder="1"/>
    <xf numFmtId="2" fontId="76" fillId="25" borderId="60" xfId="148" applyNumberFormat="1" applyFont="1" applyFill="1" applyBorder="1"/>
    <xf numFmtId="0" fontId="76" fillId="25" borderId="60" xfId="148" applyFont="1" applyFill="1" applyBorder="1"/>
    <xf numFmtId="9" fontId="76" fillId="25" borderId="60" xfId="148" applyNumberFormat="1" applyFont="1" applyFill="1" applyBorder="1"/>
    <xf numFmtId="0" fontId="76" fillId="0" borderId="0" xfId="148" applyFont="1"/>
    <xf numFmtId="0" fontId="76" fillId="25" borderId="0" xfId="148" applyFont="1" applyFill="1" applyAlignment="1">
      <alignment horizontal="left" vertical="center" indent="1"/>
    </xf>
    <xf numFmtId="3" fontId="106" fillId="25" borderId="0" xfId="148" applyNumberFormat="1" applyFont="1" applyFill="1"/>
    <xf numFmtId="0" fontId="106" fillId="25" borderId="0" xfId="148" applyFont="1" applyFill="1"/>
    <xf numFmtId="9" fontId="106" fillId="25" borderId="0" xfId="148" applyNumberFormat="1" applyFont="1" applyFill="1"/>
    <xf numFmtId="9" fontId="76" fillId="25" borderId="10" xfId="148" applyNumberFormat="1" applyFont="1" applyFill="1" applyBorder="1" applyAlignment="1">
      <alignment vertical="center" wrapText="1"/>
    </xf>
    <xf numFmtId="0" fontId="76" fillId="0" borderId="0" xfId="148" applyFont="1" applyAlignment="1">
      <alignment horizontal="left" vertical="center" indent="4"/>
    </xf>
    <xf numFmtId="0" fontId="86" fillId="0" borderId="0" xfId="148" applyFont="1" applyAlignment="1">
      <alignment vertical="center"/>
    </xf>
    <xf numFmtId="0" fontId="76" fillId="25" borderId="0" xfId="148" applyFont="1" applyFill="1" applyAlignment="1">
      <alignment horizontal="left" vertical="center"/>
    </xf>
    <xf numFmtId="3" fontId="76" fillId="25" borderId="10" xfId="148" applyNumberFormat="1" applyFont="1" applyFill="1" applyBorder="1" applyAlignment="1">
      <alignment horizontal="right" vertical="center" wrapText="1"/>
    </xf>
    <xf numFmtId="0" fontId="87" fillId="25" borderId="0" xfId="148" applyFont="1" applyFill="1" applyAlignment="1">
      <alignment horizontal="left" vertical="center" indent="6"/>
    </xf>
    <xf numFmtId="0" fontId="76" fillId="25" borderId="0" xfId="148" applyFont="1" applyFill="1" applyAlignment="1">
      <alignment horizontal="center" vertical="center"/>
    </xf>
    <xf numFmtId="0" fontId="76" fillId="0" borderId="0" xfId="148" applyFont="1" applyAlignment="1">
      <alignment horizontal="center" vertical="center"/>
    </xf>
    <xf numFmtId="0" fontId="87" fillId="25" borderId="0" xfId="148" applyFont="1" applyFill="1" applyAlignment="1">
      <alignment horizontal="left" vertical="center" indent="4"/>
    </xf>
    <xf numFmtId="0" fontId="76" fillId="25" borderId="12" xfId="148" applyFont="1" applyFill="1" applyBorder="1" applyAlignment="1">
      <alignment vertical="center"/>
    </xf>
    <xf numFmtId="3" fontId="76" fillId="25" borderId="10" xfId="148" applyNumberFormat="1" applyFont="1" applyFill="1" applyBorder="1" applyAlignment="1">
      <alignment horizontal="center" vertical="center"/>
    </xf>
    <xf numFmtId="9" fontId="76" fillId="25" borderId="13" xfId="148" applyNumberFormat="1" applyFont="1" applyFill="1" applyBorder="1" applyAlignment="1">
      <alignment horizontal="center" vertical="center"/>
    </xf>
    <xf numFmtId="0" fontId="76" fillId="25" borderId="13" xfId="148" applyFont="1" applyFill="1" applyBorder="1" applyAlignment="1">
      <alignment horizontal="center" vertical="center"/>
    </xf>
    <xf numFmtId="0" fontId="76" fillId="25" borderId="10" xfId="148" applyFont="1" applyFill="1" applyBorder="1" applyAlignment="1">
      <alignment horizontal="center" vertical="center"/>
    </xf>
    <xf numFmtId="3" fontId="76" fillId="25" borderId="13" xfId="148" applyNumberFormat="1" applyFont="1" applyFill="1" applyBorder="1" applyAlignment="1">
      <alignment horizontal="center" vertical="center"/>
    </xf>
    <xf numFmtId="10" fontId="76" fillId="25" borderId="13" xfId="148" applyNumberFormat="1" applyFont="1" applyFill="1" applyBorder="1" applyAlignment="1">
      <alignment horizontal="center" vertical="center"/>
    </xf>
    <xf numFmtId="0" fontId="36" fillId="25" borderId="0" xfId="148" applyFont="1" applyFill="1"/>
    <xf numFmtId="0" fontId="38" fillId="25" borderId="0" xfId="148" applyFont="1" applyFill="1"/>
    <xf numFmtId="0" fontId="64" fillId="25" borderId="11" xfId="148" applyFont="1" applyFill="1" applyBorder="1" applyAlignment="1">
      <alignment horizontal="center" vertical="center" wrapText="1"/>
    </xf>
    <xf numFmtId="0" fontId="64" fillId="25" borderId="10" xfId="148" applyFont="1" applyFill="1" applyBorder="1" applyAlignment="1">
      <alignment horizontal="center" vertical="center" wrapText="1"/>
    </xf>
    <xf numFmtId="0" fontId="36" fillId="25" borderId="0" xfId="148" applyFont="1" applyFill="1" applyAlignment="1">
      <alignment horizontal="left" vertical="center" indent="12"/>
    </xf>
    <xf numFmtId="0" fontId="65" fillId="25" borderId="0" xfId="148" applyFont="1" applyFill="1" applyAlignment="1">
      <alignment horizontal="left" vertical="center" indent="8"/>
    </xf>
    <xf numFmtId="0" fontId="35" fillId="0" borderId="0" xfId="148" applyFont="1"/>
    <xf numFmtId="3" fontId="36" fillId="25" borderId="13" xfId="148" applyNumberFormat="1" applyFont="1" applyFill="1" applyBorder="1" applyAlignment="1">
      <alignment horizontal="right" vertical="center"/>
    </xf>
    <xf numFmtId="0" fontId="138" fillId="25" borderId="10" xfId="148" applyFont="1" applyFill="1" applyBorder="1" applyAlignment="1">
      <alignment horizontal="right" vertical="center"/>
    </xf>
    <xf numFmtId="0" fontId="138" fillId="25" borderId="12" xfId="148" applyFont="1" applyFill="1" applyBorder="1" applyAlignment="1">
      <alignment vertical="center"/>
    </xf>
    <xf numFmtId="0" fontId="2" fillId="25" borderId="10" xfId="148" applyFill="1" applyBorder="1"/>
    <xf numFmtId="0" fontId="2" fillId="25" borderId="14" xfId="148" applyFill="1" applyBorder="1"/>
    <xf numFmtId="0" fontId="34" fillId="25" borderId="0" xfId="148" applyFont="1" applyFill="1"/>
    <xf numFmtId="0" fontId="65" fillId="25" borderId="0" xfId="148" applyFont="1" applyFill="1" applyAlignment="1">
      <alignment horizontal="left" vertical="center" indent="12"/>
    </xf>
    <xf numFmtId="167" fontId="0" fillId="25" borderId="60" xfId="107" applyNumberFormat="1" applyFont="1" applyFill="1" applyBorder="1"/>
    <xf numFmtId="43" fontId="0" fillId="25" borderId="60" xfId="107" applyFont="1" applyFill="1" applyBorder="1"/>
    <xf numFmtId="181" fontId="0" fillId="25" borderId="60" xfId="107" applyNumberFormat="1" applyFont="1" applyFill="1" applyBorder="1"/>
    <xf numFmtId="179" fontId="0" fillId="25" borderId="60" xfId="107" applyNumberFormat="1" applyFont="1" applyFill="1" applyBorder="1"/>
    <xf numFmtId="2" fontId="2" fillId="25" borderId="60" xfId="148" applyNumberFormat="1" applyFill="1" applyBorder="1"/>
    <xf numFmtId="10" fontId="2" fillId="25" borderId="60" xfId="148" applyNumberFormat="1" applyFill="1" applyBorder="1"/>
    <xf numFmtId="3" fontId="2" fillId="25" borderId="60" xfId="148" applyNumberFormat="1" applyFill="1" applyBorder="1"/>
    <xf numFmtId="187" fontId="0" fillId="25" borderId="60" xfId="107" applyNumberFormat="1" applyFont="1" applyFill="1" applyBorder="1"/>
    <xf numFmtId="179" fontId="10" fillId="25" borderId="60" xfId="107" applyNumberFormat="1" applyFont="1" applyFill="1" applyBorder="1"/>
    <xf numFmtId="0" fontId="2" fillId="25" borderId="27" xfId="148" applyFill="1" applyBorder="1" applyAlignment="1">
      <alignment horizontal="center"/>
    </xf>
    <xf numFmtId="0" fontId="10" fillId="25" borderId="27" xfId="148" applyFont="1" applyFill="1" applyBorder="1" applyAlignment="1">
      <alignment horizontal="center"/>
    </xf>
    <xf numFmtId="0" fontId="2" fillId="25" borderId="23" xfId="148" applyFill="1" applyBorder="1" applyAlignment="1">
      <alignment horizontal="center"/>
    </xf>
    <xf numFmtId="0" fontId="2" fillId="25" borderId="23" xfId="148" applyFill="1" applyBorder="1"/>
    <xf numFmtId="0" fontId="10" fillId="25" borderId="23" xfId="148" applyFont="1" applyFill="1" applyBorder="1" applyAlignment="1">
      <alignment horizontal="center"/>
    </xf>
    <xf numFmtId="0" fontId="2" fillId="25" borderId="20" xfId="148" applyFill="1" applyBorder="1"/>
    <xf numFmtId="0" fontId="10" fillId="25" borderId="20" xfId="148" applyFont="1" applyFill="1" applyBorder="1"/>
    <xf numFmtId="0" fontId="10" fillId="25" borderId="20" xfId="148" applyFont="1" applyFill="1" applyBorder="1" applyAlignment="1">
      <alignment horizontal="center"/>
    </xf>
    <xf numFmtId="0" fontId="10" fillId="25" borderId="0" xfId="148" applyFont="1" applyFill="1"/>
    <xf numFmtId="10" fontId="0" fillId="25" borderId="60" xfId="156" quotePrefix="1" applyNumberFormat="1" applyFont="1" applyFill="1" applyBorder="1" applyAlignment="1">
      <alignment horizontal="center"/>
    </xf>
    <xf numFmtId="2" fontId="2" fillId="25" borderId="60" xfId="148" applyNumberFormat="1" applyFill="1" applyBorder="1" applyAlignment="1">
      <alignment horizontal="center"/>
    </xf>
    <xf numFmtId="4" fontId="2" fillId="25" borderId="60" xfId="148" quotePrefix="1" applyNumberFormat="1" applyFill="1" applyBorder="1" applyAlignment="1">
      <alignment horizontal="center"/>
    </xf>
    <xf numFmtId="3" fontId="2" fillId="25" borderId="60" xfId="148" applyNumberFormat="1" applyFill="1" applyBorder="1" applyAlignment="1">
      <alignment horizontal="center"/>
    </xf>
    <xf numFmtId="10" fontId="2" fillId="25" borderId="60" xfId="148" applyNumberFormat="1" applyFill="1" applyBorder="1" applyAlignment="1">
      <alignment horizontal="center"/>
    </xf>
    <xf numFmtId="0" fontId="2" fillId="25" borderId="60" xfId="148" applyFill="1" applyBorder="1" applyAlignment="1">
      <alignment horizontal="center"/>
    </xf>
    <xf numFmtId="0" fontId="87" fillId="25" borderId="0" xfId="148" applyFont="1" applyFill="1" applyAlignment="1">
      <alignment horizontal="left" vertical="center" indent="12"/>
    </xf>
    <xf numFmtId="4" fontId="2" fillId="0" borderId="0" xfId="148" applyNumberFormat="1"/>
    <xf numFmtId="43" fontId="139" fillId="0" borderId="0" xfId="108" applyFont="1"/>
    <xf numFmtId="186" fontId="0" fillId="0" borderId="0" xfId="161" applyNumberFormat="1" applyFont="1"/>
    <xf numFmtId="0" fontId="2" fillId="0" borderId="0" xfId="148" applyAlignment="1">
      <alignment horizontal="right"/>
    </xf>
    <xf numFmtId="167" fontId="0" fillId="0" borderId="0" xfId="108" applyNumberFormat="1" applyFont="1"/>
    <xf numFmtId="0" fontId="139" fillId="0" borderId="0" xfId="148" applyFont="1"/>
    <xf numFmtId="4" fontId="139" fillId="0" borderId="0" xfId="148" applyNumberFormat="1" applyFont="1"/>
    <xf numFmtId="186" fontId="2" fillId="29" borderId="0" xfId="148" applyNumberFormat="1" applyFill="1"/>
    <xf numFmtId="4" fontId="2" fillId="29" borderId="0" xfId="148" applyNumberFormat="1" applyFill="1" applyAlignment="1">
      <alignment horizontal="center"/>
    </xf>
    <xf numFmtId="4" fontId="2" fillId="29" borderId="0" xfId="148" applyNumberFormat="1" applyFill="1"/>
    <xf numFmtId="43" fontId="0" fillId="29" borderId="0" xfId="108" applyFont="1" applyFill="1"/>
    <xf numFmtId="0" fontId="2" fillId="29" borderId="0" xfId="148" applyFill="1"/>
    <xf numFmtId="0" fontId="2" fillId="29" borderId="0" xfId="148" applyFill="1" applyAlignment="1">
      <alignment horizontal="center"/>
    </xf>
    <xf numFmtId="0" fontId="2" fillId="0" borderId="0" xfId="148" applyAlignment="1">
      <alignment horizontal="center"/>
    </xf>
    <xf numFmtId="0" fontId="10" fillId="28" borderId="0" xfId="84" applyFill="1"/>
    <xf numFmtId="0" fontId="10" fillId="24" borderId="0" xfId="84" applyFill="1"/>
    <xf numFmtId="179" fontId="2" fillId="24" borderId="0" xfId="107" applyNumberFormat="1" applyFont="1" applyFill="1"/>
    <xf numFmtId="167" fontId="2" fillId="24" borderId="0" xfId="107" applyNumberFormat="1" applyFont="1" applyFill="1"/>
    <xf numFmtId="43" fontId="2" fillId="24" borderId="0" xfId="107" applyFont="1" applyFill="1"/>
    <xf numFmtId="181" fontId="2" fillId="24" borderId="0" xfId="107" applyNumberFormat="1" applyFont="1" applyFill="1"/>
    <xf numFmtId="2" fontId="10" fillId="24" borderId="0" xfId="84" applyNumberFormat="1" applyFill="1"/>
    <xf numFmtId="10" fontId="10" fillId="24" borderId="0" xfId="84" applyNumberFormat="1" applyFill="1"/>
    <xf numFmtId="3" fontId="10" fillId="24" borderId="0" xfId="84" applyNumberFormat="1" applyFill="1"/>
    <xf numFmtId="187" fontId="2" fillId="24" borderId="0" xfId="107" applyNumberFormat="1" applyFont="1" applyFill="1"/>
    <xf numFmtId="179" fontId="10" fillId="24" borderId="0" xfId="107" applyNumberFormat="1" applyFont="1" applyFill="1"/>
    <xf numFmtId="0" fontId="10" fillId="24" borderId="0" xfId="84" applyFill="1" applyAlignment="1">
      <alignment horizontal="center"/>
    </xf>
    <xf numFmtId="0" fontId="10" fillId="31" borderId="0" xfId="84" applyFill="1"/>
    <xf numFmtId="0" fontId="40" fillId="31" borderId="0" xfId="84" applyFont="1" applyFill="1"/>
    <xf numFmtId="167" fontId="2" fillId="28" borderId="0" xfId="107" applyNumberFormat="1" applyFont="1" applyFill="1"/>
    <xf numFmtId="43" fontId="2" fillId="45" borderId="0" xfId="107" applyFont="1" applyFill="1"/>
    <xf numFmtId="43" fontId="2" fillId="28" borderId="0" xfId="107" applyFont="1" applyFill="1"/>
    <xf numFmtId="181" fontId="2" fillId="28" borderId="0" xfId="107" applyNumberFormat="1" applyFont="1" applyFill="1"/>
    <xf numFmtId="179" fontId="2" fillId="28" borderId="0" xfId="107" applyNumberFormat="1" applyFont="1" applyFill="1"/>
    <xf numFmtId="2" fontId="10" fillId="45" borderId="0" xfId="84" applyNumberFormat="1" applyFill="1"/>
    <xf numFmtId="10" fontId="10" fillId="45" borderId="0" xfId="84" applyNumberFormat="1" applyFill="1"/>
    <xf numFmtId="0" fontId="10" fillId="45" borderId="0" xfId="84" applyFill="1"/>
    <xf numFmtId="3" fontId="10" fillId="28" borderId="0" xfId="84" applyNumberFormat="1" applyFill="1"/>
    <xf numFmtId="179" fontId="2" fillId="45" borderId="0" xfId="107" applyNumberFormat="1" applyFont="1" applyFill="1"/>
    <xf numFmtId="179" fontId="10" fillId="28" borderId="0" xfId="107" applyNumberFormat="1" applyFont="1" applyFill="1"/>
    <xf numFmtId="0" fontId="10" fillId="28" borderId="0" xfId="84" applyFill="1" applyAlignment="1">
      <alignment horizontal="center"/>
    </xf>
    <xf numFmtId="0" fontId="10" fillId="45" borderId="0" xfId="84" applyFill="1" applyAlignment="1">
      <alignment horizontal="center"/>
    </xf>
    <xf numFmtId="0" fontId="40" fillId="46" borderId="0" xfId="84" applyFont="1" applyFill="1"/>
    <xf numFmtId="4" fontId="10" fillId="31" borderId="0" xfId="84" applyNumberFormat="1" applyFill="1"/>
    <xf numFmtId="0" fontId="10" fillId="28" borderId="0" xfId="84" applyFill="1" applyAlignment="1">
      <alignment horizontal="right"/>
    </xf>
    <xf numFmtId="4" fontId="10" fillId="28" borderId="0" xfId="84" applyNumberFormat="1" applyFill="1"/>
    <xf numFmtId="10" fontId="10" fillId="28" borderId="0" xfId="84" quotePrefix="1" applyNumberFormat="1" applyFill="1"/>
    <xf numFmtId="4" fontId="10" fillId="28" borderId="0" xfId="84" quotePrefix="1" applyNumberFormat="1" applyFill="1"/>
    <xf numFmtId="2" fontId="10" fillId="28" borderId="0" xfId="84" applyNumberFormat="1" applyFill="1"/>
    <xf numFmtId="10" fontId="10" fillId="28" borderId="0" xfId="84" applyNumberFormat="1" applyFill="1"/>
    <xf numFmtId="14" fontId="10" fillId="28" borderId="0" xfId="84" applyNumberFormat="1" applyFill="1" applyAlignment="1">
      <alignment horizontal="center"/>
    </xf>
    <xf numFmtId="0" fontId="140" fillId="28" borderId="0" xfId="84" applyFont="1" applyFill="1"/>
    <xf numFmtId="0" fontId="141" fillId="28" borderId="0" xfId="84" applyFont="1" applyFill="1"/>
    <xf numFmtId="0" fontId="75" fillId="25" borderId="0" xfId="148" applyFont="1" applyFill="1"/>
    <xf numFmtId="0" fontId="86" fillId="25" borderId="13" xfId="148" applyFont="1" applyFill="1" applyBorder="1" applyAlignment="1">
      <alignment vertical="center"/>
    </xf>
    <xf numFmtId="0" fontId="76" fillId="25" borderId="13" xfId="148" applyFont="1" applyFill="1" applyBorder="1" applyAlignment="1">
      <alignment horizontal="right" vertical="center"/>
    </xf>
    <xf numFmtId="10" fontId="76" fillId="25" borderId="13" xfId="148" applyNumberFormat="1" applyFont="1" applyFill="1" applyBorder="1" applyAlignment="1">
      <alignment horizontal="right" vertical="center"/>
    </xf>
    <xf numFmtId="9" fontId="76" fillId="25" borderId="13" xfId="148" applyNumberFormat="1" applyFont="1" applyFill="1" applyBorder="1" applyAlignment="1">
      <alignment horizontal="right" vertical="center"/>
    </xf>
    <xf numFmtId="0" fontId="87" fillId="25" borderId="0" xfId="148" applyFont="1" applyFill="1" applyAlignment="1">
      <alignment horizontal="left" vertical="center" indent="7"/>
    </xf>
    <xf numFmtId="0" fontId="76" fillId="0" borderId="0" xfId="148" applyFont="1" applyAlignment="1">
      <alignment horizontal="left" vertical="center"/>
    </xf>
    <xf numFmtId="0" fontId="76" fillId="25" borderId="0" xfId="148" applyFont="1" applyFill="1"/>
    <xf numFmtId="0" fontId="86" fillId="25" borderId="10" xfId="148" applyFont="1" applyFill="1" applyBorder="1" applyAlignment="1">
      <alignment horizontal="center" vertical="center" wrapText="1"/>
    </xf>
    <xf numFmtId="0" fontId="86" fillId="25" borderId="11" xfId="148" applyFont="1" applyFill="1" applyBorder="1" applyAlignment="1">
      <alignment vertical="center" wrapText="1"/>
    </xf>
    <xf numFmtId="0" fontId="106" fillId="0" borderId="0" xfId="148" applyFont="1"/>
    <xf numFmtId="0" fontId="64" fillId="0" borderId="0" xfId="148" applyFont="1" applyAlignment="1">
      <alignment horizontal="left" vertical="center" indent="4"/>
    </xf>
    <xf numFmtId="0" fontId="76" fillId="25" borderId="0" xfId="148" applyFont="1" applyFill="1" applyAlignment="1">
      <alignment horizontal="left" vertical="center" indent="2"/>
    </xf>
    <xf numFmtId="0" fontId="64" fillId="25" borderId="12" xfId="148" applyFont="1" applyFill="1" applyBorder="1" applyAlignment="1">
      <alignment vertical="center" wrapText="1"/>
    </xf>
    <xf numFmtId="0" fontId="64" fillId="25" borderId="10" xfId="148" applyFont="1" applyFill="1" applyBorder="1" applyAlignment="1">
      <alignment vertical="center" wrapText="1"/>
    </xf>
    <xf numFmtId="0" fontId="36" fillId="0" borderId="0" xfId="148" applyFont="1" applyAlignment="1">
      <alignment horizontal="left" vertical="center" indent="1"/>
    </xf>
    <xf numFmtId="0" fontId="65" fillId="25" borderId="0" xfId="148" applyFont="1" applyFill="1" applyAlignment="1">
      <alignment horizontal="left" vertical="center" indent="6"/>
    </xf>
    <xf numFmtId="0" fontId="34" fillId="25" borderId="0" xfId="148" applyFont="1" applyFill="1" applyAlignment="1">
      <alignment vertical="center"/>
    </xf>
    <xf numFmtId="0" fontId="65" fillId="25" borderId="0" xfId="148" applyFont="1" applyFill="1" applyAlignment="1">
      <alignment horizontal="left" vertical="center" indent="4"/>
    </xf>
    <xf numFmtId="0" fontId="36" fillId="0" borderId="0" xfId="148" applyFont="1" applyAlignment="1">
      <alignment horizontal="left" vertical="center" indent="2"/>
    </xf>
    <xf numFmtId="3" fontId="58" fillId="25" borderId="0" xfId="148" applyNumberFormat="1" applyFont="1" applyFill="1" applyAlignment="1">
      <alignment vertical="center"/>
    </xf>
    <xf numFmtId="9" fontId="58" fillId="25" borderId="0" xfId="148" applyNumberFormat="1" applyFont="1" applyFill="1" applyAlignment="1">
      <alignment vertical="center"/>
    </xf>
    <xf numFmtId="10" fontId="58" fillId="25" borderId="0" xfId="148" applyNumberFormat="1" applyFont="1" applyFill="1" applyAlignment="1">
      <alignment vertical="center"/>
    </xf>
    <xf numFmtId="0" fontId="58" fillId="25" borderId="12" xfId="148" applyFont="1" applyFill="1" applyBorder="1" applyAlignment="1">
      <alignment vertical="center" wrapText="1"/>
    </xf>
    <xf numFmtId="0" fontId="58" fillId="25" borderId="10" xfId="148" applyFont="1" applyFill="1" applyBorder="1" applyAlignment="1">
      <alignment vertical="center" wrapText="1"/>
    </xf>
    <xf numFmtId="0" fontId="58" fillId="25" borderId="11" xfId="148" applyFont="1" applyFill="1" applyBorder="1" applyAlignment="1">
      <alignment vertical="center" wrapText="1"/>
    </xf>
    <xf numFmtId="0" fontId="58" fillId="25" borderId="13" xfId="148" applyFont="1" applyFill="1" applyBorder="1" applyAlignment="1">
      <alignment vertical="center" wrapText="1"/>
    </xf>
    <xf numFmtId="0" fontId="36" fillId="25" borderId="13" xfId="148" applyFont="1" applyFill="1" applyBorder="1" applyAlignment="1">
      <alignment vertical="center" wrapText="1"/>
    </xf>
    <xf numFmtId="3" fontId="36" fillId="25" borderId="10" xfId="148" applyNumberFormat="1" applyFont="1" applyFill="1" applyBorder="1" applyAlignment="1">
      <alignment horizontal="right" vertical="center" wrapText="1"/>
    </xf>
    <xf numFmtId="0" fontId="2" fillId="0" borderId="0" xfId="153"/>
    <xf numFmtId="43" fontId="2" fillId="0" borderId="0" xfId="153" applyNumberFormat="1"/>
    <xf numFmtId="167" fontId="0" fillId="0" borderId="0" xfId="162" applyNumberFormat="1" applyFont="1" applyFill="1"/>
    <xf numFmtId="0" fontId="0" fillId="0" borderId="0" xfId="153" applyFont="1"/>
    <xf numFmtId="10" fontId="2" fillId="0" borderId="0" xfId="153" applyNumberFormat="1"/>
    <xf numFmtId="0" fontId="2" fillId="0" borderId="0" xfId="153" applyAlignment="1">
      <alignment horizontal="left" indent="1"/>
    </xf>
    <xf numFmtId="9" fontId="2" fillId="0" borderId="0" xfId="153" applyNumberFormat="1"/>
    <xf numFmtId="0" fontId="2" fillId="0" borderId="0" xfId="153" quotePrefix="1"/>
    <xf numFmtId="0" fontId="142" fillId="0" borderId="0" xfId="163"/>
    <xf numFmtId="3" fontId="2" fillId="0" borderId="0" xfId="153" applyNumberFormat="1"/>
    <xf numFmtId="10" fontId="105" fillId="31" borderId="60" xfId="148" applyNumberFormat="1" applyFont="1" applyFill="1" applyBorder="1"/>
    <xf numFmtId="0" fontId="2" fillId="0" borderId="60" xfId="148" applyBorder="1"/>
    <xf numFmtId="10" fontId="0" fillId="0" borderId="60" xfId="164" applyNumberFormat="1" applyFont="1" applyBorder="1"/>
    <xf numFmtId="167" fontId="0" fillId="0" borderId="60" xfId="158" applyNumberFormat="1" applyFont="1" applyBorder="1"/>
    <xf numFmtId="10" fontId="2" fillId="0" borderId="60" xfId="148" applyNumberFormat="1" applyBorder="1"/>
    <xf numFmtId="167" fontId="10" fillId="0" borderId="0" xfId="107" applyNumberFormat="1" applyFont="1"/>
    <xf numFmtId="0" fontId="63" fillId="31" borderId="60" xfId="84" applyFont="1" applyFill="1" applyBorder="1" applyAlignment="1">
      <alignment horizontal="center" vertical="center"/>
    </xf>
    <xf numFmtId="43" fontId="61" fillId="0" borderId="60" xfId="107" applyFont="1" applyBorder="1" applyAlignment="1">
      <alignment vertical="center"/>
    </xf>
    <xf numFmtId="43" fontId="143" fillId="0" borderId="60" xfId="158" applyFont="1" applyBorder="1" applyAlignment="1">
      <alignment vertical="top"/>
    </xf>
    <xf numFmtId="167" fontId="0" fillId="0" borderId="0" xfId="107" applyNumberFormat="1" applyFont="1"/>
    <xf numFmtId="10" fontId="61" fillId="0" borderId="60" xfId="84" applyNumberFormat="1" applyFont="1" applyBorder="1" applyAlignment="1">
      <alignment vertical="center"/>
    </xf>
    <xf numFmtId="43" fontId="63" fillId="0" borderId="60" xfId="107" applyFont="1" applyBorder="1" applyAlignment="1">
      <alignment vertical="center"/>
    </xf>
    <xf numFmtId="43" fontId="144" fillId="0" borderId="60" xfId="158" applyFont="1" applyBorder="1" applyAlignment="1">
      <alignment vertical="center"/>
    </xf>
    <xf numFmtId="167" fontId="63" fillId="0" borderId="60" xfId="107" applyNumberFormat="1" applyFont="1" applyBorder="1" applyAlignment="1">
      <alignment vertical="center"/>
    </xf>
    <xf numFmtId="167" fontId="61" fillId="0" borderId="60" xfId="107" applyNumberFormat="1" applyFont="1" applyBorder="1" applyAlignment="1">
      <alignment vertical="center"/>
    </xf>
    <xf numFmtId="3" fontId="76" fillId="25" borderId="13" xfId="148" applyNumberFormat="1" applyFont="1" applyFill="1" applyBorder="1" applyAlignment="1">
      <alignment vertical="center"/>
    </xf>
    <xf numFmtId="0" fontId="76" fillId="25" borderId="13" xfId="148" applyFont="1" applyFill="1" applyBorder="1" applyAlignment="1">
      <alignment vertical="center"/>
    </xf>
    <xf numFmtId="0" fontId="51" fillId="0" borderId="0" xfId="148" quotePrefix="1" applyFont="1"/>
    <xf numFmtId="3" fontId="51" fillId="0" borderId="0" xfId="148" applyNumberFormat="1" applyFont="1"/>
    <xf numFmtId="0" fontId="76" fillId="25" borderId="53" xfId="148" applyFont="1" applyFill="1" applyBorder="1" applyAlignment="1">
      <alignment vertical="center"/>
    </xf>
    <xf numFmtId="0" fontId="51" fillId="29" borderId="0" xfId="148" applyFont="1" applyFill="1"/>
    <xf numFmtId="0" fontId="51" fillId="29" borderId="0" xfId="148" quotePrefix="1" applyFont="1" applyFill="1"/>
    <xf numFmtId="0" fontId="79" fillId="29" borderId="0" xfId="148" applyFont="1" applyFill="1"/>
    <xf numFmtId="0" fontId="76" fillId="0" borderId="0" xfId="148" applyFont="1" applyAlignment="1">
      <alignment horizontal="left" vertical="center" indent="1"/>
    </xf>
    <xf numFmtId="0" fontId="76" fillId="25" borderId="13" xfId="148" applyFont="1" applyFill="1" applyBorder="1" applyAlignment="1">
      <alignment vertical="center" wrapText="1"/>
    </xf>
    <xf numFmtId="0" fontId="87" fillId="0" borderId="0" xfId="148" applyFont="1" applyAlignment="1">
      <alignment horizontal="left" vertical="center" indent="9"/>
    </xf>
    <xf numFmtId="0" fontId="79" fillId="0" borderId="0" xfId="148" applyFont="1"/>
    <xf numFmtId="0" fontId="76" fillId="25" borderId="0" xfId="148" applyFont="1" applyFill="1" applyAlignment="1">
      <alignment horizontal="left" vertical="center" indent="3"/>
    </xf>
    <xf numFmtId="0" fontId="76" fillId="0" borderId="0" xfId="148" applyFont="1" applyAlignment="1">
      <alignment horizontal="left" vertical="center" indent="2"/>
    </xf>
    <xf numFmtId="0" fontId="76" fillId="0" borderId="0" xfId="148" applyFont="1" applyAlignment="1">
      <alignment horizontal="left" vertical="center" indent="10"/>
    </xf>
    <xf numFmtId="3" fontId="76" fillId="0" borderId="0" xfId="148" applyNumberFormat="1" applyFont="1" applyAlignment="1">
      <alignment horizontal="right"/>
    </xf>
    <xf numFmtId="0" fontId="86" fillId="0" borderId="0" xfId="148" applyFont="1" applyAlignment="1">
      <alignment horizontal="left" vertical="center" indent="10"/>
    </xf>
    <xf numFmtId="0" fontId="0" fillId="36" borderId="0" xfId="0" applyFill="1"/>
    <xf numFmtId="0" fontId="36" fillId="25" borderId="0" xfId="148" applyFont="1" applyFill="1" applyAlignment="1">
      <alignment horizontal="center" vertical="center" wrapText="1"/>
    </xf>
    <xf numFmtId="0" fontId="34" fillId="25" borderId="0" xfId="148" applyFont="1" applyFill="1" applyAlignment="1">
      <alignment horizontal="left" vertical="center" wrapText="1"/>
    </xf>
    <xf numFmtId="0" fontId="2" fillId="25" borderId="0" xfId="148" applyFill="1"/>
    <xf numFmtId="0" fontId="58" fillId="25" borderId="42" xfId="148" applyFont="1" applyFill="1" applyBorder="1" applyAlignment="1">
      <alignment vertical="center"/>
    </xf>
    <xf numFmtId="0" fontId="58" fillId="25" borderId="55" xfId="148" applyFont="1" applyFill="1" applyBorder="1" applyAlignment="1">
      <alignment vertical="center"/>
    </xf>
    <xf numFmtId="0" fontId="58" fillId="25" borderId="0" xfId="148" applyFont="1" applyFill="1" applyAlignment="1">
      <alignment vertical="center"/>
    </xf>
    <xf numFmtId="0" fontId="36" fillId="25" borderId="0" xfId="148" applyFont="1" applyFill="1" applyAlignment="1">
      <alignment vertical="center"/>
    </xf>
    <xf numFmtId="0" fontId="2" fillId="0" borderId="0" xfId="153" applyAlignment="1">
      <alignment horizontal="left" wrapText="1"/>
    </xf>
    <xf numFmtId="43" fontId="145" fillId="0" borderId="0" xfId="158" applyFont="1" applyAlignment="1">
      <alignment horizontal="left" vertical="center"/>
    </xf>
    <xf numFmtId="0" fontId="86" fillId="25" borderId="14" xfId="148" applyFont="1" applyFill="1" applyBorder="1" applyAlignment="1">
      <alignment vertical="center"/>
    </xf>
    <xf numFmtId="0" fontId="86" fillId="25" borderId="10" xfId="148" applyFont="1" applyFill="1" applyBorder="1" applyAlignment="1">
      <alignment vertical="center"/>
    </xf>
    <xf numFmtId="0" fontId="86" fillId="25" borderId="52" xfId="148" applyFont="1" applyFill="1" applyBorder="1" applyAlignment="1">
      <alignment vertical="center"/>
    </xf>
    <xf numFmtId="0" fontId="76" fillId="25" borderId="0" xfId="148" applyFont="1" applyFill="1" applyAlignment="1">
      <alignment horizontal="left" vertical="center" wrapText="1"/>
    </xf>
    <xf numFmtId="0" fontId="76" fillId="25" borderId="16" xfId="148" applyFont="1" applyFill="1" applyBorder="1" applyAlignment="1">
      <alignment vertical="center" wrapText="1"/>
    </xf>
    <xf numFmtId="0" fontId="76" fillId="25" borderId="11" xfId="148" applyFont="1" applyFill="1" applyBorder="1" applyAlignment="1">
      <alignment vertical="center" wrapText="1"/>
    </xf>
    <xf numFmtId="3" fontId="36" fillId="25" borderId="14" xfId="140" applyNumberFormat="1" applyFont="1" applyFill="1" applyBorder="1" applyAlignment="1">
      <alignment vertical="center"/>
    </xf>
    <xf numFmtId="3" fontId="36" fillId="25" borderId="10" xfId="140" applyNumberFormat="1" applyFont="1" applyFill="1" applyBorder="1" applyAlignment="1">
      <alignment vertical="center"/>
    </xf>
    <xf numFmtId="0" fontId="36" fillId="25" borderId="14" xfId="140" applyFont="1" applyFill="1" applyBorder="1" applyAlignment="1">
      <alignment horizontal="center" vertical="center"/>
    </xf>
    <xf numFmtId="0" fontId="36" fillId="25" borderId="35" xfId="140" applyFont="1" applyFill="1" applyBorder="1" applyAlignment="1">
      <alignment horizontal="center" vertical="center"/>
    </xf>
    <xf numFmtId="0" fontId="36" fillId="25" borderId="52" xfId="140" applyFont="1" applyFill="1" applyBorder="1" applyAlignment="1">
      <alignment horizontal="center" vertical="center"/>
    </xf>
    <xf numFmtId="0" fontId="36" fillId="25" borderId="14" xfId="140" applyFont="1" applyFill="1" applyBorder="1" applyAlignment="1">
      <alignment vertical="center"/>
    </xf>
    <xf numFmtId="0" fontId="36" fillId="25" borderId="35" xfId="140" applyFont="1" applyFill="1" applyBorder="1" applyAlignment="1">
      <alignment vertical="center"/>
    </xf>
    <xf numFmtId="0" fontId="36" fillId="25" borderId="10" xfId="140" applyFont="1" applyFill="1" applyBorder="1" applyAlignment="1">
      <alignment vertical="center"/>
    </xf>
    <xf numFmtId="0" fontId="36" fillId="25" borderId="10" xfId="140" applyFont="1" applyFill="1" applyBorder="1" applyAlignment="1">
      <alignment horizontal="center" vertical="center"/>
    </xf>
    <xf numFmtId="0" fontId="36" fillId="25" borderId="14" xfId="140" applyFont="1" applyFill="1" applyBorder="1" applyAlignment="1">
      <alignment vertical="center" wrapText="1"/>
    </xf>
    <xf numFmtId="0" fontId="36" fillId="25" borderId="10" xfId="140" applyFont="1" applyFill="1" applyBorder="1" applyAlignment="1">
      <alignment vertical="center" wrapText="1"/>
    </xf>
    <xf numFmtId="0" fontId="36" fillId="25" borderId="52" xfId="140" applyFont="1" applyFill="1" applyBorder="1" applyAlignment="1">
      <alignment vertical="center"/>
    </xf>
    <xf numFmtId="0" fontId="99" fillId="0" borderId="57" xfId="143" applyBorder="1" applyAlignment="1" applyProtection="1">
      <alignment horizontal="center"/>
    </xf>
    <xf numFmtId="0" fontId="64" fillId="25" borderId="16" xfId="140" applyFont="1" applyFill="1" applyBorder="1" applyAlignment="1">
      <alignment vertical="center"/>
    </xf>
    <xf numFmtId="0" fontId="64" fillId="25" borderId="11" xfId="140" applyFont="1" applyFill="1" applyBorder="1" applyAlignment="1">
      <alignment vertical="center"/>
    </xf>
    <xf numFmtId="0" fontId="64" fillId="25" borderId="14" xfId="140" applyFont="1" applyFill="1" applyBorder="1" applyAlignment="1">
      <alignment vertical="center"/>
    </xf>
    <xf numFmtId="0" fontId="64" fillId="25" borderId="35" xfId="140" applyFont="1" applyFill="1" applyBorder="1" applyAlignment="1">
      <alignment vertical="center"/>
    </xf>
    <xf numFmtId="0" fontId="64" fillId="25" borderId="10" xfId="140" applyFont="1" applyFill="1" applyBorder="1" applyAlignment="1">
      <alignment vertical="center"/>
    </xf>
    <xf numFmtId="0" fontId="36" fillId="25" borderId="42" xfId="140" applyFont="1" applyFill="1" applyBorder="1" applyAlignment="1">
      <alignment vertical="center"/>
    </xf>
    <xf numFmtId="0" fontId="65" fillId="25" borderId="42" xfId="140" applyFont="1" applyFill="1" applyBorder="1" applyAlignment="1">
      <alignment vertical="center"/>
    </xf>
    <xf numFmtId="0" fontId="107" fillId="25" borderId="14" xfId="140" applyFont="1" applyFill="1" applyBorder="1" applyAlignment="1">
      <alignment vertical="center" wrapText="1"/>
    </xf>
    <xf numFmtId="0" fontId="107" fillId="25" borderId="35" xfId="140" applyFont="1" applyFill="1" applyBorder="1" applyAlignment="1">
      <alignment vertical="center" wrapText="1"/>
    </xf>
    <xf numFmtId="0" fontId="107" fillId="25" borderId="10" xfId="140" applyFont="1" applyFill="1" applyBorder="1" applyAlignment="1">
      <alignment vertical="center" wrapText="1"/>
    </xf>
    <xf numFmtId="0" fontId="106" fillId="25" borderId="54" xfId="140" applyFont="1" applyFill="1" applyBorder="1" applyAlignment="1">
      <alignment horizontal="center" vertical="center" wrapText="1"/>
    </xf>
    <xf numFmtId="0" fontId="106" fillId="25" borderId="55" xfId="140" applyFont="1" applyFill="1" applyBorder="1" applyAlignment="1">
      <alignment horizontal="center" vertical="center" wrapText="1"/>
    </xf>
    <xf numFmtId="0" fontId="106" fillId="25" borderId="36" xfId="140" applyFont="1" applyFill="1" applyBorder="1" applyAlignment="1">
      <alignment horizontal="center" vertical="center" wrapText="1"/>
    </xf>
    <xf numFmtId="0" fontId="106" fillId="25" borderId="53" xfId="140" applyFont="1" applyFill="1" applyBorder="1" applyAlignment="1">
      <alignment horizontal="center" vertical="center" wrapText="1"/>
    </xf>
    <xf numFmtId="0" fontId="106" fillId="25" borderId="42" xfId="140" applyFont="1" applyFill="1" applyBorder="1" applyAlignment="1">
      <alignment horizontal="center" vertical="center" wrapText="1"/>
    </xf>
    <xf numFmtId="0" fontId="106" fillId="25" borderId="13" xfId="140" applyFont="1" applyFill="1" applyBorder="1" applyAlignment="1">
      <alignment horizontal="center" vertical="center" wrapText="1"/>
    </xf>
    <xf numFmtId="0" fontId="106" fillId="0" borderId="54" xfId="140" applyFont="1" applyBorder="1" applyAlignment="1">
      <alignment horizontal="center" vertical="center" wrapText="1"/>
    </xf>
    <xf numFmtId="0" fontId="106" fillId="0" borderId="55" xfId="140" applyFont="1" applyBorder="1" applyAlignment="1">
      <alignment horizontal="center" vertical="center" wrapText="1"/>
    </xf>
    <xf numFmtId="0" fontId="106" fillId="0" borderId="36" xfId="140" applyFont="1" applyBorder="1" applyAlignment="1">
      <alignment horizontal="center" vertical="center" wrapText="1"/>
    </xf>
    <xf numFmtId="0" fontId="106" fillId="0" borderId="53" xfId="140" applyFont="1" applyBorder="1" applyAlignment="1">
      <alignment horizontal="center" vertical="center" wrapText="1"/>
    </xf>
    <xf numFmtId="0" fontId="106" fillId="0" borderId="42" xfId="140" applyFont="1" applyBorder="1" applyAlignment="1">
      <alignment horizontal="center" vertical="center" wrapText="1"/>
    </xf>
    <xf numFmtId="0" fontId="106" fillId="0" borderId="13" xfId="140" applyFont="1" applyBorder="1" applyAlignment="1">
      <alignment horizontal="center" vertical="center" wrapText="1"/>
    </xf>
    <xf numFmtId="0" fontId="107" fillId="0" borderId="14" xfId="140" applyFont="1" applyBorder="1" applyAlignment="1">
      <alignment vertical="center" wrapText="1"/>
    </xf>
    <xf numFmtId="0" fontId="107" fillId="0" borderId="35" xfId="140" applyFont="1" applyBorder="1" applyAlignment="1">
      <alignment vertical="center" wrapText="1"/>
    </xf>
    <xf numFmtId="0" fontId="107" fillId="0" borderId="10" xfId="140" applyFont="1" applyBorder="1" applyAlignment="1">
      <alignment vertical="center" wrapText="1"/>
    </xf>
    <xf numFmtId="0" fontId="36" fillId="25" borderId="16" xfId="148" applyFont="1" applyFill="1" applyBorder="1" applyAlignment="1">
      <alignment horizontal="center" vertical="center"/>
    </xf>
    <xf numFmtId="0" fontId="36" fillId="25" borderId="11" xfId="148" applyFont="1" applyFill="1" applyBorder="1" applyAlignment="1">
      <alignment horizontal="center" vertical="center"/>
    </xf>
    <xf numFmtId="0" fontId="36" fillId="25" borderId="14" xfId="148" applyFont="1" applyFill="1" applyBorder="1" applyAlignment="1">
      <alignment horizontal="center" vertical="center"/>
    </xf>
    <xf numFmtId="0" fontId="36" fillId="25" borderId="63" xfId="148" applyFont="1" applyFill="1" applyBorder="1" applyAlignment="1">
      <alignment horizontal="center" vertical="center"/>
    </xf>
    <xf numFmtId="0" fontId="58" fillId="37" borderId="16" xfId="140" applyFont="1" applyFill="1" applyBorder="1" applyAlignment="1">
      <alignment horizontal="center" vertical="center"/>
    </xf>
    <xf numFmtId="0" fontId="58" fillId="37" borderId="15" xfId="140" applyFont="1" applyFill="1" applyBorder="1" applyAlignment="1">
      <alignment horizontal="center" vertical="center"/>
    </xf>
    <xf numFmtId="0" fontId="76" fillId="25" borderId="14" xfId="148" applyFont="1" applyFill="1" applyBorder="1" applyAlignment="1">
      <alignment horizontal="center" vertical="center" wrapText="1"/>
    </xf>
    <xf numFmtId="0" fontId="76" fillId="25" borderId="10" xfId="148" applyFont="1" applyFill="1" applyBorder="1" applyAlignment="1">
      <alignment horizontal="center" vertical="center" wrapText="1"/>
    </xf>
    <xf numFmtId="0" fontId="36" fillId="25" borderId="14" xfId="148" applyFont="1" applyFill="1" applyBorder="1" applyAlignment="1">
      <alignment vertical="center" wrapText="1"/>
    </xf>
    <xf numFmtId="0" fontId="36" fillId="25" borderId="10" xfId="148" applyFont="1" applyFill="1" applyBorder="1" applyAlignment="1">
      <alignment vertical="center" wrapText="1"/>
    </xf>
    <xf numFmtId="0" fontId="58" fillId="25" borderId="14" xfId="148" applyFont="1" applyFill="1" applyBorder="1" applyAlignment="1">
      <alignment vertical="center"/>
    </xf>
    <xf numFmtId="0" fontId="58" fillId="25" borderId="10" xfId="148" applyFont="1" applyFill="1" applyBorder="1" applyAlignment="1">
      <alignment vertical="center"/>
    </xf>
    <xf numFmtId="0" fontId="10" fillId="38" borderId="0" xfId="159" applyFill="1" applyAlignment="1">
      <alignment horizontal="center"/>
    </xf>
    <xf numFmtId="0" fontId="35" fillId="25" borderId="14" xfId="148" applyFont="1" applyFill="1" applyBorder="1" applyAlignment="1">
      <alignment horizontal="center" vertical="center" wrapText="1"/>
    </xf>
    <xf numFmtId="0" fontId="35" fillId="25" borderId="35" xfId="148" applyFont="1" applyFill="1" applyBorder="1" applyAlignment="1">
      <alignment horizontal="center" vertical="center" wrapText="1"/>
    </xf>
    <xf numFmtId="0" fontId="35" fillId="25" borderId="10" xfId="148" applyFont="1" applyFill="1" applyBorder="1" applyAlignment="1">
      <alignment horizontal="center" vertical="center" wrapText="1"/>
    </xf>
    <xf numFmtId="0" fontId="35" fillId="25" borderId="16" xfId="148" applyFont="1" applyFill="1" applyBorder="1" applyAlignment="1">
      <alignment vertical="center" wrapText="1"/>
    </xf>
    <xf numFmtId="0" fontId="35" fillId="25" borderId="15" xfId="148" applyFont="1" applyFill="1" applyBorder="1" applyAlignment="1">
      <alignment vertical="center" wrapText="1"/>
    </xf>
    <xf numFmtId="0" fontId="35" fillId="25" borderId="11" xfId="148" applyFont="1" applyFill="1" applyBorder="1" applyAlignment="1">
      <alignment vertical="center" wrapText="1"/>
    </xf>
    <xf numFmtId="14" fontId="35" fillId="25" borderId="14" xfId="148" applyNumberFormat="1" applyFont="1" applyFill="1" applyBorder="1" applyAlignment="1">
      <alignment horizontal="center" vertical="center" wrapText="1"/>
    </xf>
    <xf numFmtId="14" fontId="35" fillId="25" borderId="35" xfId="148" applyNumberFormat="1" applyFont="1" applyFill="1" applyBorder="1" applyAlignment="1">
      <alignment horizontal="center" vertical="center" wrapText="1"/>
    </xf>
    <xf numFmtId="14" fontId="35" fillId="25" borderId="10" xfId="148" applyNumberFormat="1" applyFont="1" applyFill="1" applyBorder="1" applyAlignment="1">
      <alignment horizontal="center" vertical="center" wrapText="1"/>
    </xf>
    <xf numFmtId="10" fontId="35" fillId="25" borderId="14" xfId="148" applyNumberFormat="1" applyFont="1" applyFill="1" applyBorder="1" applyAlignment="1">
      <alignment horizontal="center" vertical="center" wrapText="1"/>
    </xf>
    <xf numFmtId="10" fontId="35" fillId="25" borderId="35" xfId="148" applyNumberFormat="1" applyFont="1" applyFill="1" applyBorder="1" applyAlignment="1">
      <alignment horizontal="center" vertical="center" wrapText="1"/>
    </xf>
    <xf numFmtId="10" fontId="35" fillId="25" borderId="10" xfId="148" applyNumberFormat="1" applyFont="1" applyFill="1" applyBorder="1" applyAlignment="1">
      <alignment horizontal="center" vertical="center" wrapText="1"/>
    </xf>
    <xf numFmtId="3" fontId="35" fillId="25" borderId="14" xfId="148" applyNumberFormat="1" applyFont="1" applyFill="1" applyBorder="1" applyAlignment="1">
      <alignment horizontal="center" vertical="center" wrapText="1"/>
    </xf>
    <xf numFmtId="3" fontId="35" fillId="25" borderId="35" xfId="148" applyNumberFormat="1" applyFont="1" applyFill="1" applyBorder="1" applyAlignment="1">
      <alignment horizontal="center" vertical="center" wrapText="1"/>
    </xf>
    <xf numFmtId="3" fontId="35" fillId="25" borderId="10" xfId="148" applyNumberFormat="1" applyFont="1" applyFill="1" applyBorder="1" applyAlignment="1">
      <alignment horizontal="center" vertical="center" wrapText="1"/>
    </xf>
    <xf numFmtId="10" fontId="35" fillId="25" borderId="54" xfId="148" applyNumberFormat="1" applyFont="1" applyFill="1" applyBorder="1" applyAlignment="1">
      <alignment horizontal="center" vertical="center" wrapText="1"/>
    </xf>
    <xf numFmtId="10" fontId="35" fillId="25" borderId="55" xfId="148" applyNumberFormat="1" applyFont="1" applyFill="1" applyBorder="1" applyAlignment="1">
      <alignment horizontal="center" vertical="center" wrapText="1"/>
    </xf>
    <xf numFmtId="10" fontId="35" fillId="25" borderId="36" xfId="148" applyNumberFormat="1" applyFont="1" applyFill="1" applyBorder="1" applyAlignment="1">
      <alignment horizontal="center" vertical="center" wrapText="1"/>
    </xf>
    <xf numFmtId="10" fontId="35" fillId="25" borderId="53" xfId="148" applyNumberFormat="1" applyFont="1" applyFill="1" applyBorder="1" applyAlignment="1">
      <alignment horizontal="center" vertical="center" wrapText="1"/>
    </xf>
    <xf numFmtId="10" fontId="35" fillId="25" borderId="42" xfId="148" applyNumberFormat="1" applyFont="1" applyFill="1" applyBorder="1" applyAlignment="1">
      <alignment horizontal="center" vertical="center" wrapText="1"/>
    </xf>
    <xf numFmtId="10" fontId="35" fillId="25" borderId="13" xfId="148" applyNumberFormat="1" applyFont="1" applyFill="1" applyBorder="1" applyAlignment="1">
      <alignment horizontal="center" vertical="center" wrapText="1"/>
    </xf>
    <xf numFmtId="0" fontId="10" fillId="0" borderId="0" xfId="148" applyFont="1" applyAlignment="1">
      <alignment wrapText="1"/>
    </xf>
    <xf numFmtId="0" fontId="76" fillId="25" borderId="14" xfId="148" applyFont="1" applyFill="1" applyBorder="1" applyAlignment="1">
      <alignment horizontal="center" vertical="center"/>
    </xf>
    <xf numFmtId="0" fontId="76" fillId="25" borderId="35" xfId="148" applyFont="1" applyFill="1" applyBorder="1" applyAlignment="1">
      <alignment horizontal="center" vertical="center"/>
    </xf>
    <xf numFmtId="0" fontId="76" fillId="25" borderId="10" xfId="148" applyFont="1" applyFill="1" applyBorder="1" applyAlignment="1">
      <alignment horizontal="center" vertical="center"/>
    </xf>
    <xf numFmtId="0" fontId="36" fillId="25" borderId="14" xfId="148" applyFont="1" applyFill="1" applyBorder="1" applyAlignment="1">
      <alignment vertical="center"/>
    </xf>
    <xf numFmtId="0" fontId="36" fillId="25" borderId="10" xfId="148" applyFont="1" applyFill="1" applyBorder="1" applyAlignment="1">
      <alignment vertical="center"/>
    </xf>
    <xf numFmtId="0" fontId="80" fillId="0" borderId="51" xfId="84" applyFont="1" applyBorder="1" applyAlignment="1">
      <alignment horizontal="center"/>
    </xf>
    <xf numFmtId="0" fontId="64" fillId="25" borderId="14" xfId="140" applyFont="1" applyFill="1" applyBorder="1" applyAlignment="1">
      <alignment vertical="center" wrapText="1"/>
    </xf>
    <xf numFmtId="0" fontId="64" fillId="25" borderId="35" xfId="140" applyFont="1" applyFill="1" applyBorder="1" applyAlignment="1">
      <alignment vertical="center" wrapText="1"/>
    </xf>
    <xf numFmtId="0" fontId="64" fillId="25" borderId="10" xfId="140" applyFont="1" applyFill="1" applyBorder="1" applyAlignment="1">
      <alignment vertical="center" wrapText="1"/>
    </xf>
    <xf numFmtId="0" fontId="59" fillId="25" borderId="44" xfId="140" applyFont="1" applyFill="1" applyBorder="1" applyAlignment="1">
      <alignment horizontal="center" vertical="center"/>
    </xf>
    <xf numFmtId="0" fontId="59" fillId="25" borderId="45" xfId="140" applyFont="1" applyFill="1" applyBorder="1" applyAlignment="1">
      <alignment horizontal="center" vertical="center"/>
    </xf>
    <xf numFmtId="0" fontId="59" fillId="25" borderId="44" xfId="140" applyFont="1" applyFill="1" applyBorder="1" applyAlignment="1">
      <alignment horizontal="center" vertical="center" wrapText="1"/>
    </xf>
    <xf numFmtId="0" fontId="59" fillId="25" borderId="45" xfId="140" applyFont="1" applyFill="1" applyBorder="1" applyAlignment="1">
      <alignment horizontal="center" vertical="center" wrapText="1"/>
    </xf>
    <xf numFmtId="0" fontId="36" fillId="25" borderId="16" xfId="140" applyFont="1" applyFill="1" applyBorder="1" applyAlignment="1">
      <alignment horizontal="center" vertical="center"/>
    </xf>
    <xf numFmtId="0" fontId="36" fillId="25" borderId="11" xfId="140" applyFont="1" applyFill="1" applyBorder="1" applyAlignment="1">
      <alignment horizontal="center" vertical="center"/>
    </xf>
    <xf numFmtId="10" fontId="36" fillId="25" borderId="16" xfId="140" applyNumberFormat="1" applyFont="1" applyFill="1" applyBorder="1" applyAlignment="1">
      <alignment horizontal="right" vertical="center" wrapText="1"/>
    </xf>
    <xf numFmtId="10" fontId="36" fillId="25" borderId="11" xfId="140" applyNumberFormat="1" applyFont="1" applyFill="1" applyBorder="1" applyAlignment="1">
      <alignment horizontal="right" vertical="center" wrapText="1"/>
    </xf>
    <xf numFmtId="0" fontId="36" fillId="25" borderId="14" xfId="140" applyFont="1" applyFill="1" applyBorder="1" applyAlignment="1">
      <alignment horizontal="center" vertical="center" wrapText="1"/>
    </xf>
    <xf numFmtId="0" fontId="36" fillId="25" borderId="35" xfId="140" applyFont="1" applyFill="1" applyBorder="1" applyAlignment="1">
      <alignment horizontal="center" vertical="center" wrapText="1"/>
    </xf>
    <xf numFmtId="0" fontId="36" fillId="25" borderId="10" xfId="140" applyFont="1" applyFill="1" applyBorder="1" applyAlignment="1">
      <alignment horizontal="center" vertical="center" wrapText="1"/>
    </xf>
    <xf numFmtId="0" fontId="36" fillId="25" borderId="16" xfId="140" applyFont="1" applyFill="1" applyBorder="1" applyAlignment="1">
      <alignment vertical="center"/>
    </xf>
    <xf numFmtId="0" fontId="36" fillId="25" borderId="11" xfId="140" applyFont="1" applyFill="1" applyBorder="1" applyAlignment="1">
      <alignment vertical="center"/>
    </xf>
    <xf numFmtId="0" fontId="36" fillId="25" borderId="16" xfId="140" applyFont="1" applyFill="1" applyBorder="1" applyAlignment="1">
      <alignment horizontal="center" vertical="center" wrapText="1"/>
    </xf>
    <xf numFmtId="0" fontId="36" fillId="25" borderId="11" xfId="140" applyFont="1" applyFill="1" applyBorder="1" applyAlignment="1">
      <alignment horizontal="center" vertical="center" wrapText="1"/>
    </xf>
    <xf numFmtId="0" fontId="64" fillId="25" borderId="14" xfId="140" applyFont="1" applyFill="1" applyBorder="1" applyAlignment="1">
      <alignment horizontal="center" vertical="center" wrapText="1"/>
    </xf>
    <xf numFmtId="0" fontId="64" fillId="25" borderId="10" xfId="140" applyFont="1" applyFill="1" applyBorder="1" applyAlignment="1">
      <alignment horizontal="center" vertical="center" wrapText="1"/>
    </xf>
    <xf numFmtId="0" fontId="64" fillId="25" borderId="14" xfId="140" applyFont="1" applyFill="1" applyBorder="1" applyAlignment="1">
      <alignment horizontal="center" vertical="center"/>
    </xf>
    <xf numFmtId="0" fontId="64" fillId="25" borderId="35" xfId="140" applyFont="1" applyFill="1" applyBorder="1" applyAlignment="1">
      <alignment horizontal="center" vertical="center"/>
    </xf>
    <xf numFmtId="0" fontId="64" fillId="25" borderId="10" xfId="140" applyFont="1" applyFill="1" applyBorder="1" applyAlignment="1">
      <alignment horizontal="center" vertical="center"/>
    </xf>
    <xf numFmtId="0" fontId="64" fillId="25" borderId="35" xfId="140" applyFont="1" applyFill="1" applyBorder="1" applyAlignment="1">
      <alignment horizontal="center" vertical="center" wrapText="1"/>
    </xf>
    <xf numFmtId="0" fontId="36" fillId="25" borderId="16" xfId="140" applyFont="1" applyFill="1" applyBorder="1" applyAlignment="1">
      <alignment vertical="center" wrapText="1"/>
    </xf>
    <xf numFmtId="0" fontId="36" fillId="25" borderId="11" xfId="140" applyFont="1" applyFill="1" applyBorder="1" applyAlignment="1">
      <alignment vertical="center" wrapText="1"/>
    </xf>
    <xf numFmtId="0" fontId="58" fillId="25" borderId="16" xfId="140" applyFont="1" applyFill="1" applyBorder="1" applyAlignment="1">
      <alignment horizontal="center" vertical="center" wrapText="1"/>
    </xf>
    <xf numFmtId="0" fontId="58" fillId="25" borderId="11" xfId="140" applyFont="1" applyFill="1" applyBorder="1" applyAlignment="1">
      <alignment horizontal="center" vertical="center" wrapText="1"/>
    </xf>
    <xf numFmtId="0" fontId="58" fillId="25" borderId="16" xfId="140" applyFont="1" applyFill="1" applyBorder="1" applyAlignment="1">
      <alignment horizontal="center" vertical="center"/>
    </xf>
    <xf numFmtId="0" fontId="58" fillId="25" borderId="11" xfId="140" applyFont="1" applyFill="1" applyBorder="1" applyAlignment="1">
      <alignment horizontal="center" vertical="center"/>
    </xf>
    <xf numFmtId="0" fontId="63" fillId="25" borderId="17" xfId="141" applyFont="1" applyFill="1" applyBorder="1" applyAlignment="1">
      <alignment horizontal="center"/>
    </xf>
    <xf numFmtId="0" fontId="63" fillId="25" borderId="18" xfId="141" applyFont="1" applyFill="1" applyBorder="1" applyAlignment="1">
      <alignment horizontal="center"/>
    </xf>
    <xf numFmtId="0" fontId="63" fillId="25" borderId="19" xfId="141" applyFont="1" applyFill="1" applyBorder="1" applyAlignment="1">
      <alignment horizontal="center"/>
    </xf>
    <xf numFmtId="0" fontId="64" fillId="25" borderId="20" xfId="141" applyFont="1" applyFill="1" applyBorder="1" applyAlignment="1">
      <alignment horizontal="center" wrapText="1"/>
    </xf>
    <xf numFmtId="0" fontId="64" fillId="25" borderId="23" xfId="141" applyFont="1" applyFill="1" applyBorder="1" applyAlignment="1">
      <alignment horizontal="center" wrapText="1"/>
    </xf>
    <xf numFmtId="0" fontId="64" fillId="25" borderId="16" xfId="140" applyFont="1" applyFill="1" applyBorder="1" applyAlignment="1">
      <alignment vertical="center" wrapText="1"/>
    </xf>
    <xf numFmtId="0" fontId="64" fillId="25" borderId="15" xfId="140" applyFont="1" applyFill="1" applyBorder="1" applyAlignment="1">
      <alignment vertical="center" wrapText="1"/>
    </xf>
    <xf numFmtId="0" fontId="64" fillId="25" borderId="11" xfId="140" applyFont="1" applyFill="1" applyBorder="1" applyAlignment="1">
      <alignment vertical="center" wrapText="1"/>
    </xf>
    <xf numFmtId="0" fontId="66" fillId="25" borderId="14" xfId="140" applyFont="1" applyFill="1" applyBorder="1" applyAlignment="1">
      <alignment horizontal="center" vertical="center" wrapText="1"/>
    </xf>
    <xf numFmtId="0" fontId="66" fillId="25" borderId="35" xfId="140" applyFont="1" applyFill="1" applyBorder="1" applyAlignment="1">
      <alignment horizontal="center" vertical="center" wrapText="1"/>
    </xf>
    <xf numFmtId="0" fontId="66" fillId="25" borderId="10" xfId="140" applyFont="1" applyFill="1" applyBorder="1" applyAlignment="1">
      <alignment horizontal="center" vertical="center" wrapText="1"/>
    </xf>
    <xf numFmtId="0" fontId="66" fillId="25" borderId="14" xfId="140" applyFont="1" applyFill="1" applyBorder="1" applyAlignment="1">
      <alignment horizontal="center" vertical="center"/>
    </xf>
    <xf numFmtId="0" fontId="66" fillId="25" borderId="10" xfId="140" applyFont="1" applyFill="1" applyBorder="1" applyAlignment="1">
      <alignment horizontal="center" vertical="center"/>
    </xf>
    <xf numFmtId="0" fontId="43" fillId="24" borderId="14" xfId="139" applyFont="1" applyFill="1" applyBorder="1" applyAlignment="1">
      <alignment vertical="center" wrapText="1"/>
    </xf>
    <xf numFmtId="0" fontId="43" fillId="24" borderId="10" xfId="139" applyFont="1" applyFill="1" applyBorder="1" applyAlignment="1">
      <alignment vertical="center" wrapText="1"/>
    </xf>
    <xf numFmtId="0" fontId="146" fillId="0" borderId="0" xfId="165" applyFont="1" applyAlignment="1">
      <alignment horizontal="center"/>
    </xf>
    <xf numFmtId="0" fontId="1" fillId="0" borderId="0" xfId="165"/>
    <xf numFmtId="0" fontId="147" fillId="0" borderId="0" xfId="165" applyFont="1"/>
    <xf numFmtId="0" fontId="148" fillId="0" borderId="0" xfId="165" applyFont="1" applyAlignment="1">
      <alignment horizontal="center"/>
    </xf>
    <xf numFmtId="0" fontId="1" fillId="0" borderId="0" xfId="165" applyAlignment="1">
      <alignment horizontal="right" vertical="top" indent="1"/>
    </xf>
    <xf numFmtId="0" fontId="149" fillId="0" borderId="0" xfId="165" applyFont="1" applyAlignment="1">
      <alignment horizontal="left" wrapText="1"/>
    </xf>
    <xf numFmtId="0" fontId="149" fillId="0" borderId="0" xfId="165" applyFont="1"/>
    <xf numFmtId="0" fontId="69" fillId="0" borderId="0" xfId="165" applyFont="1" applyAlignment="1">
      <alignment horizontal="left"/>
    </xf>
    <xf numFmtId="0" fontId="69" fillId="0" borderId="0" xfId="165" applyFont="1" applyAlignment="1">
      <alignment horizontal="center"/>
    </xf>
    <xf numFmtId="0" fontId="69" fillId="0" borderId="0" xfId="165" applyFont="1" applyAlignment="1">
      <alignment horizontal="right"/>
    </xf>
  </cellXfs>
  <cellStyles count="166">
    <cellStyle name="=C:\WINDOWS\SYSTEM32\COMMAND.COM" xfId="1" xr:uid="{00000000-0005-0000-0000-000000000000}"/>
    <cellStyle name="=C:\WINDOWS\SYSTEM32\COMMAND.COM 2" xfId="103" xr:uid="{00000000-0005-0000-0000-000001000000}"/>
    <cellStyle name="20% - Accent1" xfId="2" builtinId="30" customBuiltin="1"/>
    <cellStyle name="20% - Accent1 2" xfId="3" xr:uid="{00000000-0005-0000-0000-000003000000}"/>
    <cellStyle name="20% - Accent2" xfId="4" builtinId="34" customBuiltin="1"/>
    <cellStyle name="20% - Accent2 2" xfId="5" xr:uid="{00000000-0005-0000-0000-000005000000}"/>
    <cellStyle name="20% - Accent3" xfId="6" builtinId="38" customBuiltin="1"/>
    <cellStyle name="20% - Accent3 2" xfId="7" xr:uid="{00000000-0005-0000-0000-000007000000}"/>
    <cellStyle name="20% - Accent4" xfId="8" builtinId="42" customBuiltin="1"/>
    <cellStyle name="20% - Accent4 2" xfId="9" xr:uid="{00000000-0005-0000-0000-000009000000}"/>
    <cellStyle name="20% - Accent5" xfId="10" builtinId="46" customBuiltin="1"/>
    <cellStyle name="20% - Accent5 2" xfId="11" xr:uid="{00000000-0005-0000-0000-00000B000000}"/>
    <cellStyle name="20% - Accent6" xfId="12" builtinId="50" customBuiltin="1"/>
    <cellStyle name="20% - Accent6 2" xfId="13" xr:uid="{00000000-0005-0000-0000-00000D000000}"/>
    <cellStyle name="40% - Accent1" xfId="14" builtinId="31" customBuiltin="1"/>
    <cellStyle name="40% - Accent1 2" xfId="15" xr:uid="{00000000-0005-0000-0000-00000F000000}"/>
    <cellStyle name="40% - Accent2" xfId="16" builtinId="35" customBuiltin="1"/>
    <cellStyle name="40% - Accent2 2" xfId="17" xr:uid="{00000000-0005-0000-0000-000011000000}"/>
    <cellStyle name="40% - Accent3" xfId="18" builtinId="39" customBuiltin="1"/>
    <cellStyle name="40% - Accent3 2" xfId="19" xr:uid="{00000000-0005-0000-0000-000013000000}"/>
    <cellStyle name="40% - Accent4" xfId="20" builtinId="43" customBuiltin="1"/>
    <cellStyle name="40% - Accent4 2" xfId="21" xr:uid="{00000000-0005-0000-0000-000015000000}"/>
    <cellStyle name="40% - Accent5" xfId="22" builtinId="47" customBuiltin="1"/>
    <cellStyle name="40% - Accent5 2" xfId="23" xr:uid="{00000000-0005-0000-0000-000017000000}"/>
    <cellStyle name="40% - Accent6" xfId="24" builtinId="51" customBuiltin="1"/>
    <cellStyle name="40% - Accent6 2" xfId="25" xr:uid="{00000000-0005-0000-0000-000019000000}"/>
    <cellStyle name="60% - Accent1" xfId="26" builtinId="32" customBuiltin="1"/>
    <cellStyle name="60% - Accent1 2" xfId="27" xr:uid="{00000000-0005-0000-0000-00001B000000}"/>
    <cellStyle name="60% - Accent2" xfId="28" builtinId="36" customBuiltin="1"/>
    <cellStyle name="60% - Accent2 2" xfId="29" xr:uid="{00000000-0005-0000-0000-00001D000000}"/>
    <cellStyle name="60% - Accent3" xfId="30" builtinId="40" customBuiltin="1"/>
    <cellStyle name="60% - Accent3 2" xfId="31" xr:uid="{00000000-0005-0000-0000-00001F000000}"/>
    <cellStyle name="60% - Accent4" xfId="32" builtinId="44" customBuiltin="1"/>
    <cellStyle name="60% - Accent4 2" xfId="33" xr:uid="{00000000-0005-0000-0000-000021000000}"/>
    <cellStyle name="60% - Accent5" xfId="34" builtinId="48" customBuiltin="1"/>
    <cellStyle name="60% - Accent5 2" xfId="35" xr:uid="{00000000-0005-0000-0000-000023000000}"/>
    <cellStyle name="60% - Accent6" xfId="36" builtinId="52" customBuiltin="1"/>
    <cellStyle name="60% - Accent6 2" xfId="37" xr:uid="{00000000-0005-0000-0000-000025000000}"/>
    <cellStyle name="Accent1" xfId="38" builtinId="29" customBuiltin="1"/>
    <cellStyle name="Accent1 2" xfId="39" xr:uid="{00000000-0005-0000-0000-000027000000}"/>
    <cellStyle name="Accent2" xfId="40" builtinId="33" customBuiltin="1"/>
    <cellStyle name="Accent2 2" xfId="41" xr:uid="{00000000-0005-0000-0000-000029000000}"/>
    <cellStyle name="Accent3" xfId="42" builtinId="37" customBuiltin="1"/>
    <cellStyle name="Accent3 2" xfId="43" xr:uid="{00000000-0005-0000-0000-00002B000000}"/>
    <cellStyle name="Accent4" xfId="44" builtinId="41" customBuiltin="1"/>
    <cellStyle name="Accent4 2" xfId="45" xr:uid="{00000000-0005-0000-0000-00002D000000}"/>
    <cellStyle name="Accent5" xfId="46" builtinId="45" customBuiltin="1"/>
    <cellStyle name="Accent5 2" xfId="47" xr:uid="{00000000-0005-0000-0000-00002F000000}"/>
    <cellStyle name="Accent6" xfId="48" builtinId="49" customBuiltin="1"/>
    <cellStyle name="Accent6 2" xfId="49" xr:uid="{00000000-0005-0000-0000-000031000000}"/>
    <cellStyle name="Bad" xfId="50" builtinId="27" customBuiltin="1"/>
    <cellStyle name="Bad 2" xfId="51" xr:uid="{00000000-0005-0000-0000-000033000000}"/>
    <cellStyle name="Calculation" xfId="52" builtinId="22" customBuiltin="1"/>
    <cellStyle name="Calculation 2" xfId="53" xr:uid="{00000000-0005-0000-0000-000035000000}"/>
    <cellStyle name="Check Cell" xfId="54" builtinId="23" customBuiltin="1"/>
    <cellStyle name="Check Cell 2" xfId="55" xr:uid="{00000000-0005-0000-0000-000037000000}"/>
    <cellStyle name="Comma 11" xfId="158" xr:uid="{B7195B15-CE90-402A-A789-82D72CE18880}"/>
    <cellStyle name="Comma 2" xfId="56" xr:uid="{00000000-0005-0000-0000-000038000000}"/>
    <cellStyle name="Comma 2 2" xfId="130" xr:uid="{94D9B5CE-415D-4D58-8F7A-8725C158A998}"/>
    <cellStyle name="Comma 2 2 2" xfId="132" xr:uid="{2E78B891-0889-4615-BAB5-668A78149FF2}"/>
    <cellStyle name="Comma 2 3" xfId="135" xr:uid="{4437D114-8E46-49AD-B43E-60E7A3733FBA}"/>
    <cellStyle name="Comma 2 4" xfId="151" xr:uid="{BBE6A92D-BE25-42BA-A265-D2C50D8B02EC}"/>
    <cellStyle name="Comma 3" xfId="57" xr:uid="{00000000-0005-0000-0000-000039000000}"/>
    <cellStyle name="Comma 3 2" xfId="107" xr:uid="{7621AEE5-1D9C-4F74-BB73-0EAC57868B5D}"/>
    <cellStyle name="Comma 3 2 2" xfId="145" xr:uid="{30B5215B-3157-467B-8385-9A2D4BFE5F92}"/>
    <cellStyle name="Comma 3 2 2 2" xfId="149" xr:uid="{57AAA39D-4156-4207-8164-27056E736806}"/>
    <cellStyle name="Comma 4" xfId="58" xr:uid="{00000000-0005-0000-0000-00003A000000}"/>
    <cellStyle name="Comma 4 2" xfId="108" xr:uid="{202CAE3B-4518-4CD5-8002-CF0DB5380660}"/>
    <cellStyle name="Comma 5" xfId="59" xr:uid="{00000000-0005-0000-0000-00003B000000}"/>
    <cellStyle name="Comma 5 2" xfId="109" xr:uid="{82584A29-87C4-43BA-B3CA-B4B54945BBBA}"/>
    <cellStyle name="Comma 6" xfId="60" xr:uid="{00000000-0005-0000-0000-00003C000000}"/>
    <cellStyle name="Comma 6 2" xfId="110" xr:uid="{87465DE6-8918-489C-8C81-CBBFE44ABA6B}"/>
    <cellStyle name="Comma 7" xfId="61" xr:uid="{00000000-0005-0000-0000-00003D000000}"/>
    <cellStyle name="Comma 8" xfId="123" xr:uid="{CDF6CEEE-5305-46D7-B063-C335172F3B0A}"/>
    <cellStyle name="Comma 8 2" xfId="125" xr:uid="{B5C2044D-D9A5-49AF-A8EE-6244F32F7D5E}"/>
    <cellStyle name="Comma 8 2 2" xfId="162" xr:uid="{A0BB7EE3-B5B0-4E90-AFB7-5312140E818D}"/>
    <cellStyle name="Comma 8 3" xfId="154" xr:uid="{46D18EFD-8F26-4F04-9705-BEFB7997DB3C}"/>
    <cellStyle name="Comma 9" xfId="144" xr:uid="{D14FD6D5-84EF-4B04-8B91-21EEAE436AF1}"/>
    <cellStyle name="Currency 2" xfId="62" xr:uid="{00000000-0005-0000-0000-00003E000000}"/>
    <cellStyle name="Currency 2 2" xfId="111" xr:uid="{52C4EC86-5E40-4ECD-9824-A974A5EEBD51}"/>
    <cellStyle name="Currency 2 3" xfId="131" xr:uid="{9592FF02-D873-488E-A9FA-B5107621DE27}"/>
    <cellStyle name="Currency 2 4" xfId="134" xr:uid="{03268FD3-DB37-456C-9E31-EF57520AA662}"/>
    <cellStyle name="Currency 3" xfId="63" xr:uid="{00000000-0005-0000-0000-00003F000000}"/>
    <cellStyle name="Currency 3 2" xfId="112" xr:uid="{83DBC15D-3057-447C-89F5-26616D93B02F}"/>
    <cellStyle name="Currency 4" xfId="64" xr:uid="{00000000-0005-0000-0000-000040000000}"/>
    <cellStyle name="Currency 4 2" xfId="113" xr:uid="{5481448A-E3AF-4E4F-9976-893B483FF9E1}"/>
    <cellStyle name="Currency 6" xfId="155" xr:uid="{0EE352AF-10B6-4AAB-ABB3-21128207E836}"/>
    <cellStyle name="Explanatory Text" xfId="65" builtinId="53" customBuiltin="1"/>
    <cellStyle name="Explanatory Text 2" xfId="66" xr:uid="{00000000-0005-0000-0000-000042000000}"/>
    <cellStyle name="Good" xfId="67" builtinId="26" customBuiltin="1"/>
    <cellStyle name="Good 2" xfId="68" xr:uid="{00000000-0005-0000-0000-000044000000}"/>
    <cellStyle name="Heading 1" xfId="69" builtinId="16" customBuiltin="1"/>
    <cellStyle name="Heading 1 2" xfId="70" xr:uid="{00000000-0005-0000-0000-000046000000}"/>
    <cellStyle name="Heading 2" xfId="71" builtinId="17" customBuiltin="1"/>
    <cellStyle name="Heading 2 2" xfId="72" xr:uid="{00000000-0005-0000-0000-000048000000}"/>
    <cellStyle name="Heading 3" xfId="73" builtinId="18" customBuiltin="1"/>
    <cellStyle name="Heading 3 2" xfId="74" xr:uid="{00000000-0005-0000-0000-00004A000000}"/>
    <cellStyle name="Heading 4" xfId="75" builtinId="19" customBuiltin="1"/>
    <cellStyle name="Heading 4 2" xfId="76" xr:uid="{00000000-0005-0000-0000-00004C000000}"/>
    <cellStyle name="Hyperlink" xfId="163" builtinId="8"/>
    <cellStyle name="Input" xfId="77" builtinId="20" customBuiltin="1"/>
    <cellStyle name="Input 2" xfId="78" xr:uid="{00000000-0005-0000-0000-00004E000000}"/>
    <cellStyle name="Linked Cell" xfId="79" builtinId="24" customBuiltin="1"/>
    <cellStyle name="Linked Cell 2" xfId="80" xr:uid="{00000000-0005-0000-0000-000050000000}"/>
    <cellStyle name="Neutral" xfId="81" builtinId="28" customBuiltin="1"/>
    <cellStyle name="Neutral 2" xfId="82" xr:uid="{00000000-0005-0000-0000-000052000000}"/>
    <cellStyle name="Normal" xfId="0" builtinId="0"/>
    <cellStyle name="Normal 10" xfId="124" xr:uid="{B5FFC661-E3CA-4A28-AD66-C75D6469FCFF}"/>
    <cellStyle name="Normal 2" xfId="83" xr:uid="{00000000-0005-0000-0000-000054000000}"/>
    <cellStyle name="Normal 2 2" xfId="84" xr:uid="{00000000-0005-0000-0000-000055000000}"/>
    <cellStyle name="Normal 2 2 2" xfId="138" xr:uid="{7D183D2F-5818-42DF-81E0-4C587B961767}"/>
    <cellStyle name="Normal 2 2 2 2" xfId="147" xr:uid="{6E5561D5-4AC2-453D-91A0-7A1566E05F60}"/>
    <cellStyle name="Normal 2 2 3" xfId="143" xr:uid="{84134DB9-41E9-4C32-8238-68B68BAC8209}"/>
    <cellStyle name="Normal 2 3" xfId="129" xr:uid="{AD19997B-77EC-44D0-885A-28982CA1A6D3}"/>
    <cellStyle name="Normal 2 4" xfId="133" xr:uid="{043D3C50-E266-4E80-8CC7-E176048A5BFD}"/>
    <cellStyle name="Normal 2 5" xfId="148" xr:uid="{91B6F4ED-8029-4059-A0FF-7E62BEF7899F}"/>
    <cellStyle name="Normal 2_AFE201112_LO3_JZH_1_GO_v2" xfId="85" xr:uid="{00000000-0005-0000-0000-000056000000}"/>
    <cellStyle name="Normal 3" xfId="86" xr:uid="{00000000-0005-0000-0000-000057000000}"/>
    <cellStyle name="Normal 3 2" xfId="137" xr:uid="{301F5F16-B793-4E33-970C-CBBB10DC432A}"/>
    <cellStyle name="Normal 4" xfId="87" xr:uid="{00000000-0005-0000-0000-000058000000}"/>
    <cellStyle name="Normal 4 2" xfId="136" xr:uid="{E009F911-D19E-4280-A169-757BF6DD251E}"/>
    <cellStyle name="Normal 5" xfId="105" xr:uid="{AA942E21-827A-4DB0-82AF-44538EDEAB00}"/>
    <cellStyle name="Normal 5 2" xfId="118" xr:uid="{62E6BF57-E42A-401C-ADA0-009B81EA7EFE}"/>
    <cellStyle name="Normal 5 3" xfId="121" xr:uid="{D2054E9D-ABE3-4B11-AEB5-FC289969F285}"/>
    <cellStyle name="Normal 6" xfId="106" xr:uid="{04C0CDEB-5123-4201-9032-23340C2F1BB3}"/>
    <cellStyle name="Normal 6 2" xfId="119" xr:uid="{99F3FE95-C814-491C-8991-A46B3C4D8D7F}"/>
    <cellStyle name="Normal 6 2 2" xfId="126" xr:uid="{B8DFD260-4A72-4A00-AE52-B96E9A7AFA6A}"/>
    <cellStyle name="Normal 6 3" xfId="120" xr:uid="{FC7A31AF-760A-409E-B64C-247B5857C595}"/>
    <cellStyle name="Normal 6 4" xfId="141" xr:uid="{507C04A6-E2DF-4A80-BCF5-CBA6E820A6CD}"/>
    <cellStyle name="Normal 6 5" xfId="153" xr:uid="{7663D274-9F28-442B-80DF-FB347533EAC4}"/>
    <cellStyle name="Normal 7" xfId="139" xr:uid="{AA6FFDFC-9029-4308-B82B-E194F2339B46}"/>
    <cellStyle name="Normal 7 2" xfId="152" xr:uid="{C503560F-A531-4673-9D41-B80B3E93609D}"/>
    <cellStyle name="Normal 7 3" xfId="165" xr:uid="{DD7FDD87-81B8-4F33-9C4F-1C5373BB30BE}"/>
    <cellStyle name="Normal 8" xfId="140" xr:uid="{00471C40-1DDF-4F1E-94B4-FAE46B8C92FB}"/>
    <cellStyle name="Normal 9" xfId="142" xr:uid="{50B651C0-E5F1-4107-B979-8C3FB0FB3A81}"/>
    <cellStyle name="Note" xfId="88" builtinId="10" customBuiltin="1"/>
    <cellStyle name="Note 2" xfId="89" xr:uid="{00000000-0005-0000-0000-00005A000000}"/>
    <cellStyle name="Output" xfId="90" builtinId="21" customBuiltin="1"/>
    <cellStyle name="Output 2" xfId="91" xr:uid="{00000000-0005-0000-0000-00005C000000}"/>
    <cellStyle name="Percent 10" xfId="160" xr:uid="{6CFA3791-6162-4BDB-B162-A936A56541A5}"/>
    <cellStyle name="Percent 2" xfId="92" xr:uid="{00000000-0005-0000-0000-00005D000000}"/>
    <cellStyle name="Percent 2 2" xfId="128" xr:uid="{558D6871-B7AE-4FDF-B2B6-D57EFFE4F675}"/>
    <cellStyle name="Percent 2 3" xfId="164" xr:uid="{D6B61471-A6AB-472F-AD4B-7D8717E774E8}"/>
    <cellStyle name="Percent 3" xfId="93" xr:uid="{00000000-0005-0000-0000-00005E000000}"/>
    <cellStyle name="Percent 3 2" xfId="114" xr:uid="{134A39CE-D492-4F6A-B515-3286B87EAAD1}"/>
    <cellStyle name="Percent 3 2 2" xfId="146" xr:uid="{3C9E1CBA-4039-48B9-A02B-63CAEDFFC989}"/>
    <cellStyle name="Percent 3 2 2 2" xfId="150" xr:uid="{AC19A9EC-BD67-4873-9449-657FD0DA7A4E}"/>
    <cellStyle name="Percent 3 3" xfId="161" xr:uid="{B3B9ADF7-8A92-48EF-AB5E-9ADFB892749F}"/>
    <cellStyle name="Percent 4" xfId="94" xr:uid="{00000000-0005-0000-0000-00005F000000}"/>
    <cellStyle name="Percent 4 2" xfId="115" xr:uid="{FE1AD74E-7C3E-4D3A-8599-DE4F64C9FC66}"/>
    <cellStyle name="Percent 5" xfId="95" xr:uid="{00000000-0005-0000-0000-000060000000}"/>
    <cellStyle name="Percent 5 2" xfId="116" xr:uid="{7BB1490C-3470-4499-9542-06243BCBA1CA}"/>
    <cellStyle name="Percent 6" xfId="96" xr:uid="{00000000-0005-0000-0000-000061000000}"/>
    <cellStyle name="Percent 6 2" xfId="117" xr:uid="{EBBE0127-BAC8-4940-A543-7B275E9DA161}"/>
    <cellStyle name="Percent 7" xfId="104" xr:uid="{00000000-0005-0000-0000-000062000000}"/>
    <cellStyle name="Percent 8" xfId="122" xr:uid="{7BED8E63-C4C0-47F7-BC02-E210DEE5CDB5}"/>
    <cellStyle name="Percent 8 2" xfId="127" xr:uid="{9D1888C7-39B0-4A71-B911-5D1E15FB9EF0}"/>
    <cellStyle name="Percent 8 3" xfId="156" xr:uid="{4E283D19-8754-438D-A79A-21579C756ED9}"/>
    <cellStyle name="Percent 9" xfId="157" xr:uid="{A359FDB3-DA2C-46B6-98D9-846C183B3368}"/>
    <cellStyle name="Title" xfId="97" builtinId="15" customBuiltin="1"/>
    <cellStyle name="Title 2" xfId="98" xr:uid="{00000000-0005-0000-0000-000064000000}"/>
    <cellStyle name="Total" xfId="99" builtinId="25" customBuiltin="1"/>
    <cellStyle name="Total 2" xfId="100" xr:uid="{00000000-0005-0000-0000-000066000000}"/>
    <cellStyle name="Warning Text" xfId="101" builtinId="11" customBuiltin="1"/>
    <cellStyle name="Warning Text 2" xfId="102" xr:uid="{00000000-0005-0000-0000-000068000000}"/>
    <cellStyle name="표준 3" xfId="159" xr:uid="{39413C1B-C58E-45EE-BD1E-6116E69444C1}"/>
  </cellStyles>
  <dxfs count="0"/>
  <tableStyles count="0" defaultTableStyle="TableStyleMedium9" defaultPivotStyle="PivotStyleLight16"/>
  <colors>
    <mruColors>
      <color rgb="FFFF99CC"/>
      <color rgb="FF33CC33"/>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calcChain" Target="calcChain.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externalLink" Target="externalLinks/externalLink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customXml" Target="../customXml/item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externalLink" Target="externalLinks/externalLink10.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externalLink" Target="externalLinks/externalLink5.xml"/><Relationship Id="rId16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externalLink" Target="externalLinks/externalLink11.xml"/><Relationship Id="rId156"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externalLink" Target="externalLinks/externalLink1.xml"/><Relationship Id="rId146" Type="http://schemas.openxmlformats.org/officeDocument/2006/relationships/externalLink" Target="externalLinks/externalLink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externalLink" Target="externalLinks/externalLink1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externalLink" Target="externalLinks/externalLink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externalLink" Target="externalLinks/externalLink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microsoft.com/office/2017/10/relationships/person" Target="persons/person.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externalLink" Target="externalLinks/externalLink1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externalLink" Target="externalLinks/externalLink3.xml"/><Relationship Id="rId148"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externalLink" Target="externalLinks/externalLink1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externalLink" Target="externalLinks/externalLink4.xml"/><Relationship Id="rId90" Type="http://schemas.openxmlformats.org/officeDocument/2006/relationships/worksheet" Target="worksheets/sheet90.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22.wmf"/></Relationships>
</file>

<file path=xl/drawings/_rels/drawing9.xml.rels><?xml version="1.0" encoding="UTF-8" standalone="yes"?>
<Relationships xmlns="http://schemas.openxmlformats.org/package/2006/relationships"><Relationship Id="rId1" Type="http://schemas.openxmlformats.org/officeDocument/2006/relationships/image" Target="../media/image22.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wmf"/></Relationships>
</file>

<file path=xl/drawings/_rels/vmlDrawing3.vml.rels><?xml version="1.0" encoding="UTF-8" standalone="yes"?>
<Relationships xmlns="http://schemas.openxmlformats.org/package/2006/relationships"><Relationship Id="rId8" Type="http://schemas.openxmlformats.org/officeDocument/2006/relationships/image" Target="../media/image15.wmf"/><Relationship Id="rId13" Type="http://schemas.openxmlformats.org/officeDocument/2006/relationships/image" Target="../media/image20.wmf"/><Relationship Id="rId3" Type="http://schemas.openxmlformats.org/officeDocument/2006/relationships/image" Target="../media/image10.wmf"/><Relationship Id="rId7" Type="http://schemas.openxmlformats.org/officeDocument/2006/relationships/image" Target="../media/image14.wmf"/><Relationship Id="rId12" Type="http://schemas.openxmlformats.org/officeDocument/2006/relationships/image" Target="../media/image19.wmf"/><Relationship Id="rId2" Type="http://schemas.openxmlformats.org/officeDocument/2006/relationships/image" Target="../media/image9.wmf"/><Relationship Id="rId1" Type="http://schemas.openxmlformats.org/officeDocument/2006/relationships/image" Target="../media/image8.wmf"/><Relationship Id="rId6" Type="http://schemas.openxmlformats.org/officeDocument/2006/relationships/image" Target="../media/image13.wmf"/><Relationship Id="rId11" Type="http://schemas.openxmlformats.org/officeDocument/2006/relationships/image" Target="../media/image18.wmf"/><Relationship Id="rId5" Type="http://schemas.openxmlformats.org/officeDocument/2006/relationships/image" Target="../media/image12.wmf"/><Relationship Id="rId10" Type="http://schemas.openxmlformats.org/officeDocument/2006/relationships/image" Target="../media/image17.wmf"/><Relationship Id="rId4" Type="http://schemas.openxmlformats.org/officeDocument/2006/relationships/image" Target="../media/image11.wmf"/><Relationship Id="rId9" Type="http://schemas.openxmlformats.org/officeDocument/2006/relationships/image" Target="../media/image16.wmf"/><Relationship Id="rId14" Type="http://schemas.openxmlformats.org/officeDocument/2006/relationships/image" Target="../media/image21.w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15.wmf"/><Relationship Id="rId13" Type="http://schemas.openxmlformats.org/officeDocument/2006/relationships/image" Target="../media/image20.wmf"/><Relationship Id="rId3" Type="http://schemas.openxmlformats.org/officeDocument/2006/relationships/image" Target="../media/image10.wmf"/><Relationship Id="rId7" Type="http://schemas.openxmlformats.org/officeDocument/2006/relationships/image" Target="../media/image14.wmf"/><Relationship Id="rId12" Type="http://schemas.openxmlformats.org/officeDocument/2006/relationships/image" Target="../media/image19.wmf"/><Relationship Id="rId2" Type="http://schemas.openxmlformats.org/officeDocument/2006/relationships/image" Target="../media/image9.wmf"/><Relationship Id="rId1" Type="http://schemas.openxmlformats.org/officeDocument/2006/relationships/image" Target="../media/image8.wmf"/><Relationship Id="rId6" Type="http://schemas.openxmlformats.org/officeDocument/2006/relationships/image" Target="../media/image13.wmf"/><Relationship Id="rId11" Type="http://schemas.openxmlformats.org/officeDocument/2006/relationships/image" Target="../media/image18.wmf"/><Relationship Id="rId5" Type="http://schemas.openxmlformats.org/officeDocument/2006/relationships/image" Target="../media/image12.wmf"/><Relationship Id="rId10" Type="http://schemas.openxmlformats.org/officeDocument/2006/relationships/image" Target="../media/image17.wmf"/><Relationship Id="rId4" Type="http://schemas.openxmlformats.org/officeDocument/2006/relationships/image" Target="../media/image11.wmf"/><Relationship Id="rId9" Type="http://schemas.openxmlformats.org/officeDocument/2006/relationships/image" Target="../media/image16.wmf"/><Relationship Id="rId14" Type="http://schemas.openxmlformats.org/officeDocument/2006/relationships/image" Target="../media/image21.w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15.wmf"/><Relationship Id="rId13" Type="http://schemas.openxmlformats.org/officeDocument/2006/relationships/image" Target="../media/image20.wmf"/><Relationship Id="rId3" Type="http://schemas.openxmlformats.org/officeDocument/2006/relationships/image" Target="../media/image10.wmf"/><Relationship Id="rId7" Type="http://schemas.openxmlformats.org/officeDocument/2006/relationships/image" Target="../media/image14.wmf"/><Relationship Id="rId12" Type="http://schemas.openxmlformats.org/officeDocument/2006/relationships/image" Target="../media/image19.wmf"/><Relationship Id="rId2" Type="http://schemas.openxmlformats.org/officeDocument/2006/relationships/image" Target="../media/image9.wmf"/><Relationship Id="rId1" Type="http://schemas.openxmlformats.org/officeDocument/2006/relationships/image" Target="../media/image8.wmf"/><Relationship Id="rId6" Type="http://schemas.openxmlformats.org/officeDocument/2006/relationships/image" Target="../media/image13.wmf"/><Relationship Id="rId11" Type="http://schemas.openxmlformats.org/officeDocument/2006/relationships/image" Target="../media/image18.wmf"/><Relationship Id="rId5" Type="http://schemas.openxmlformats.org/officeDocument/2006/relationships/image" Target="../media/image12.wmf"/><Relationship Id="rId10" Type="http://schemas.openxmlformats.org/officeDocument/2006/relationships/image" Target="../media/image17.wmf"/><Relationship Id="rId4" Type="http://schemas.openxmlformats.org/officeDocument/2006/relationships/image" Target="../media/image11.wmf"/><Relationship Id="rId9" Type="http://schemas.openxmlformats.org/officeDocument/2006/relationships/image" Target="../media/image16.wmf"/><Relationship Id="rId14" Type="http://schemas.openxmlformats.org/officeDocument/2006/relationships/image" Target="../media/image21.wmf"/></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171451</xdr:rowOff>
    </xdr:from>
    <xdr:to>
      <xdr:col>2</xdr:col>
      <xdr:colOff>406097</xdr:colOff>
      <xdr:row>3</xdr:row>
      <xdr:rowOff>133637</xdr:rowOff>
    </xdr:to>
    <xdr:pic>
      <xdr:nvPicPr>
        <xdr:cNvPr id="2" name="Picture 1">
          <a:extLst>
            <a:ext uri="{FF2B5EF4-FFF2-40B4-BE49-F238E27FC236}">
              <a16:creationId xmlns:a16="http://schemas.microsoft.com/office/drawing/2014/main" id="{EF280B05-E8DE-4429-977B-E767239442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71451"/>
          <a:ext cx="1531951" cy="512731"/>
        </a:xfrm>
        <a:prstGeom prst="rect">
          <a:avLst/>
        </a:prstGeom>
      </xdr:spPr>
    </xdr:pic>
    <xdr:clientData/>
  </xdr:twoCellAnchor>
  <xdr:twoCellAnchor>
    <xdr:from>
      <xdr:col>0</xdr:col>
      <xdr:colOff>285750</xdr:colOff>
      <xdr:row>8</xdr:row>
      <xdr:rowOff>57150</xdr:rowOff>
    </xdr:from>
    <xdr:to>
      <xdr:col>9</xdr:col>
      <xdr:colOff>590550</xdr:colOff>
      <xdr:row>8</xdr:row>
      <xdr:rowOff>66675</xdr:rowOff>
    </xdr:to>
    <xdr:cxnSp macro="">
      <xdr:nvCxnSpPr>
        <xdr:cNvPr id="3" name="Straight Connector 2">
          <a:extLst>
            <a:ext uri="{FF2B5EF4-FFF2-40B4-BE49-F238E27FC236}">
              <a16:creationId xmlns:a16="http://schemas.microsoft.com/office/drawing/2014/main" id="{D974FEFA-6998-4E77-AC3D-86E9D7241FFF}"/>
            </a:ext>
          </a:extLst>
        </xdr:cNvPr>
        <xdr:cNvCxnSpPr/>
      </xdr:nvCxnSpPr>
      <xdr:spPr>
        <a:xfrm>
          <a:off x="285750" y="1733550"/>
          <a:ext cx="5890260" cy="9525"/>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295275</xdr:colOff>
      <xdr:row>4</xdr:row>
      <xdr:rowOff>152400</xdr:rowOff>
    </xdr:from>
    <xdr:to>
      <xdr:col>9</xdr:col>
      <xdr:colOff>600075</xdr:colOff>
      <xdr:row>4</xdr:row>
      <xdr:rowOff>161925</xdr:rowOff>
    </xdr:to>
    <xdr:cxnSp macro="">
      <xdr:nvCxnSpPr>
        <xdr:cNvPr id="4" name="Straight Connector 3">
          <a:extLst>
            <a:ext uri="{FF2B5EF4-FFF2-40B4-BE49-F238E27FC236}">
              <a16:creationId xmlns:a16="http://schemas.microsoft.com/office/drawing/2014/main" id="{DDAC111B-5C85-49B3-82D4-1BB689E7B748}"/>
            </a:ext>
          </a:extLst>
        </xdr:cNvPr>
        <xdr:cNvCxnSpPr/>
      </xdr:nvCxnSpPr>
      <xdr:spPr>
        <a:xfrm>
          <a:off x="295275" y="883920"/>
          <a:ext cx="5890260" cy="9525"/>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15</xdr:row>
      <xdr:rowOff>0</xdr:rowOff>
    </xdr:from>
    <xdr:to>
      <xdr:col>6</xdr:col>
      <xdr:colOff>323850</xdr:colOff>
      <xdr:row>16</xdr:row>
      <xdr:rowOff>38100</xdr:rowOff>
    </xdr:to>
    <xdr:pic>
      <xdr:nvPicPr>
        <xdr:cNvPr id="2" name="Picture 1">
          <a:extLst>
            <a:ext uri="{FF2B5EF4-FFF2-40B4-BE49-F238E27FC236}">
              <a16:creationId xmlns:a16="http://schemas.microsoft.com/office/drawing/2014/main" id="{B3B9D670-377A-4B3E-8AB7-D7F06AC00D1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3086100"/>
          <a:ext cx="5067300" cy="24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6</xdr:col>
      <xdr:colOff>323850</xdr:colOff>
      <xdr:row>16</xdr:row>
      <xdr:rowOff>38100</xdr:rowOff>
    </xdr:to>
    <xdr:pic>
      <xdr:nvPicPr>
        <xdr:cNvPr id="3" name="Picture 2">
          <a:extLst>
            <a:ext uri="{FF2B5EF4-FFF2-40B4-BE49-F238E27FC236}">
              <a16:creationId xmlns:a16="http://schemas.microsoft.com/office/drawing/2014/main" id="{93380F15-CF2E-4FC4-82E6-EF95F9C1405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3086100"/>
          <a:ext cx="5067300" cy="24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15</xdr:row>
      <xdr:rowOff>0</xdr:rowOff>
    </xdr:from>
    <xdr:to>
      <xdr:col>6</xdr:col>
      <xdr:colOff>323850</xdr:colOff>
      <xdr:row>16</xdr:row>
      <xdr:rowOff>38100</xdr:rowOff>
    </xdr:to>
    <xdr:pic>
      <xdr:nvPicPr>
        <xdr:cNvPr id="2" name="Picture 1">
          <a:extLst>
            <a:ext uri="{FF2B5EF4-FFF2-40B4-BE49-F238E27FC236}">
              <a16:creationId xmlns:a16="http://schemas.microsoft.com/office/drawing/2014/main" id="{8CAD3297-B043-4CF8-A25F-A5749D56FFB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3086100"/>
          <a:ext cx="5067300" cy="24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6</xdr:col>
      <xdr:colOff>323850</xdr:colOff>
      <xdr:row>16</xdr:row>
      <xdr:rowOff>38100</xdr:rowOff>
    </xdr:to>
    <xdr:pic>
      <xdr:nvPicPr>
        <xdr:cNvPr id="3" name="Picture 2">
          <a:extLst>
            <a:ext uri="{FF2B5EF4-FFF2-40B4-BE49-F238E27FC236}">
              <a16:creationId xmlns:a16="http://schemas.microsoft.com/office/drawing/2014/main" id="{B1419DB3-358C-49AF-8840-6F000DA7EA6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3086100"/>
          <a:ext cx="5067300" cy="24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38</xdr:row>
      <xdr:rowOff>0</xdr:rowOff>
    </xdr:from>
    <xdr:to>
      <xdr:col>0</xdr:col>
      <xdr:colOff>215900</xdr:colOff>
      <xdr:row>39</xdr:row>
      <xdr:rowOff>152400</xdr:rowOff>
    </xdr:to>
    <xdr:pic>
      <xdr:nvPicPr>
        <xdr:cNvPr id="2" name="Picture 1">
          <a:extLst>
            <a:ext uri="{FF2B5EF4-FFF2-40B4-BE49-F238E27FC236}">
              <a16:creationId xmlns:a16="http://schemas.microsoft.com/office/drawing/2014/main" id="{826E9BF1-FC87-41A3-8FB9-7BA5468C1F7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8572500"/>
          <a:ext cx="21907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39</xdr:row>
      <xdr:rowOff>0</xdr:rowOff>
    </xdr:from>
    <xdr:to>
      <xdr:col>0</xdr:col>
      <xdr:colOff>304800</xdr:colOff>
      <xdr:row>40</xdr:row>
      <xdr:rowOff>152400</xdr:rowOff>
    </xdr:to>
    <xdr:pic>
      <xdr:nvPicPr>
        <xdr:cNvPr id="3" name="Picture 2">
          <a:extLst>
            <a:ext uri="{FF2B5EF4-FFF2-40B4-BE49-F238E27FC236}">
              <a16:creationId xmlns:a16="http://schemas.microsoft.com/office/drawing/2014/main" id="{73D05A50-24A3-46E2-B7A4-96D6460CD348}"/>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8782050"/>
          <a:ext cx="304800"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120650</xdr:colOff>
      <xdr:row>14</xdr:row>
      <xdr:rowOff>0</xdr:rowOff>
    </xdr:from>
    <xdr:to>
      <xdr:col>2</xdr:col>
      <xdr:colOff>673100</xdr:colOff>
      <xdr:row>15</xdr:row>
      <xdr:rowOff>6350</xdr:rowOff>
    </xdr:to>
    <xdr:pic>
      <xdr:nvPicPr>
        <xdr:cNvPr id="2" name="Picture 1">
          <a:extLst>
            <a:ext uri="{FF2B5EF4-FFF2-40B4-BE49-F238E27FC236}">
              <a16:creationId xmlns:a16="http://schemas.microsoft.com/office/drawing/2014/main" id="{7CF87A8D-B7A1-473F-AB36-78F31D05D5F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33425" y="2667000"/>
          <a:ext cx="109220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25400</xdr:colOff>
      <xdr:row>15</xdr:row>
      <xdr:rowOff>190500</xdr:rowOff>
    </xdr:from>
    <xdr:to>
      <xdr:col>2</xdr:col>
      <xdr:colOff>577850</xdr:colOff>
      <xdr:row>17</xdr:row>
      <xdr:rowOff>0</xdr:rowOff>
    </xdr:to>
    <xdr:pic>
      <xdr:nvPicPr>
        <xdr:cNvPr id="3" name="Picture 2">
          <a:extLst>
            <a:ext uri="{FF2B5EF4-FFF2-40B4-BE49-F238E27FC236}">
              <a16:creationId xmlns:a16="http://schemas.microsoft.com/office/drawing/2014/main" id="{D5461A47-2C8A-4160-B5F6-CC0CBD6C3699}"/>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8175" y="3048000"/>
          <a:ext cx="116205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50800</xdr:colOff>
      <xdr:row>17</xdr:row>
      <xdr:rowOff>165100</xdr:rowOff>
    </xdr:from>
    <xdr:to>
      <xdr:col>2</xdr:col>
      <xdr:colOff>457200</xdr:colOff>
      <xdr:row>18</xdr:row>
      <xdr:rowOff>171450</xdr:rowOff>
    </xdr:to>
    <xdr:pic>
      <xdr:nvPicPr>
        <xdr:cNvPr id="4" name="Picture 3">
          <a:extLst>
            <a:ext uri="{FF2B5EF4-FFF2-40B4-BE49-F238E27FC236}">
              <a16:creationId xmlns:a16="http://schemas.microsoft.com/office/drawing/2014/main" id="{8F1443A2-64B5-4082-966F-B33663BCCF9F}"/>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63575" y="3406775"/>
          <a:ext cx="1012825" cy="19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44</xdr:row>
          <xdr:rowOff>0</xdr:rowOff>
        </xdr:from>
        <xdr:to>
          <xdr:col>1</xdr:col>
          <xdr:colOff>762000</xdr:colOff>
          <xdr:row>46</xdr:row>
          <xdr:rowOff>30480</xdr:rowOff>
        </xdr:to>
        <xdr:sp macro="" textlink="">
          <xdr:nvSpPr>
            <xdr:cNvPr id="31745" name="Object 1" hidden="1">
              <a:extLst>
                <a:ext uri="{63B3BB69-23CF-44E3-9099-C40C66FF867C}">
                  <a14:compatExt spid="_x0000_s31745"/>
                </a:ext>
                <a:ext uri="{FF2B5EF4-FFF2-40B4-BE49-F238E27FC236}">
                  <a16:creationId xmlns:a16="http://schemas.microsoft.com/office/drawing/2014/main" id="{00000000-0008-0000-6100-0000017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17</xdr:row>
          <xdr:rowOff>0</xdr:rowOff>
        </xdr:from>
        <xdr:to>
          <xdr:col>0</xdr:col>
          <xdr:colOff>601980</xdr:colOff>
          <xdr:row>18</xdr:row>
          <xdr:rowOff>15240</xdr:rowOff>
        </xdr:to>
        <xdr:sp macro="" textlink="">
          <xdr:nvSpPr>
            <xdr:cNvPr id="32769" name="Object 1" hidden="1">
              <a:extLst>
                <a:ext uri="{63B3BB69-23CF-44E3-9099-C40C66FF867C}">
                  <a14:compatExt spid="_x0000_s32769"/>
                </a:ext>
                <a:ext uri="{FF2B5EF4-FFF2-40B4-BE49-F238E27FC236}">
                  <a16:creationId xmlns:a16="http://schemas.microsoft.com/office/drawing/2014/main" id="{00000000-0008-0000-6300-000001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0</xdr:col>
          <xdr:colOff>510540</xdr:colOff>
          <xdr:row>19</xdr:row>
          <xdr:rowOff>15240</xdr:rowOff>
        </xdr:to>
        <xdr:sp macro="" textlink="">
          <xdr:nvSpPr>
            <xdr:cNvPr id="32770" name="Object 2" hidden="1">
              <a:extLst>
                <a:ext uri="{63B3BB69-23CF-44E3-9099-C40C66FF867C}">
                  <a14:compatExt spid="_x0000_s32770"/>
                </a:ext>
                <a:ext uri="{FF2B5EF4-FFF2-40B4-BE49-F238E27FC236}">
                  <a16:creationId xmlns:a16="http://schemas.microsoft.com/office/drawing/2014/main" id="{00000000-0008-0000-6300-000002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0</xdr:rowOff>
        </xdr:from>
        <xdr:to>
          <xdr:col>0</xdr:col>
          <xdr:colOff>586740</xdr:colOff>
          <xdr:row>20</xdr:row>
          <xdr:rowOff>15240</xdr:rowOff>
        </xdr:to>
        <xdr:sp macro="" textlink="">
          <xdr:nvSpPr>
            <xdr:cNvPr id="32771" name="Object 3" hidden="1">
              <a:extLst>
                <a:ext uri="{63B3BB69-23CF-44E3-9099-C40C66FF867C}">
                  <a14:compatExt spid="_x0000_s32771"/>
                </a:ext>
                <a:ext uri="{FF2B5EF4-FFF2-40B4-BE49-F238E27FC236}">
                  <a16:creationId xmlns:a16="http://schemas.microsoft.com/office/drawing/2014/main" id="{00000000-0008-0000-6300-000003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0</xdr:rowOff>
        </xdr:from>
        <xdr:to>
          <xdr:col>0</xdr:col>
          <xdr:colOff>586740</xdr:colOff>
          <xdr:row>21</xdr:row>
          <xdr:rowOff>15240</xdr:rowOff>
        </xdr:to>
        <xdr:sp macro="" textlink="">
          <xdr:nvSpPr>
            <xdr:cNvPr id="32772" name="Object 4" hidden="1">
              <a:extLst>
                <a:ext uri="{63B3BB69-23CF-44E3-9099-C40C66FF867C}">
                  <a14:compatExt spid="_x0000_s32772"/>
                </a:ext>
                <a:ext uri="{FF2B5EF4-FFF2-40B4-BE49-F238E27FC236}">
                  <a16:creationId xmlns:a16="http://schemas.microsoft.com/office/drawing/2014/main" id="{00000000-0008-0000-6300-000004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0</xdr:rowOff>
        </xdr:from>
        <xdr:to>
          <xdr:col>0</xdr:col>
          <xdr:colOff>601980</xdr:colOff>
          <xdr:row>22</xdr:row>
          <xdr:rowOff>15240</xdr:rowOff>
        </xdr:to>
        <xdr:sp macro="" textlink="">
          <xdr:nvSpPr>
            <xdr:cNvPr id="32773" name="Object 5" hidden="1">
              <a:extLst>
                <a:ext uri="{63B3BB69-23CF-44E3-9099-C40C66FF867C}">
                  <a14:compatExt spid="_x0000_s32773"/>
                </a:ext>
                <a:ext uri="{FF2B5EF4-FFF2-40B4-BE49-F238E27FC236}">
                  <a16:creationId xmlns:a16="http://schemas.microsoft.com/office/drawing/2014/main" id="{00000000-0008-0000-6300-000005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0</xdr:rowOff>
        </xdr:from>
        <xdr:to>
          <xdr:col>0</xdr:col>
          <xdr:colOff>167640</xdr:colOff>
          <xdr:row>24</xdr:row>
          <xdr:rowOff>15240</xdr:rowOff>
        </xdr:to>
        <xdr:sp macro="" textlink="">
          <xdr:nvSpPr>
            <xdr:cNvPr id="32774" name="Object 6" hidden="1">
              <a:extLst>
                <a:ext uri="{63B3BB69-23CF-44E3-9099-C40C66FF867C}">
                  <a14:compatExt spid="_x0000_s32774"/>
                </a:ext>
                <a:ext uri="{FF2B5EF4-FFF2-40B4-BE49-F238E27FC236}">
                  <a16:creationId xmlns:a16="http://schemas.microsoft.com/office/drawing/2014/main" id="{00000000-0008-0000-6300-000006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xdr:row>
          <xdr:rowOff>0</xdr:rowOff>
        </xdr:from>
        <xdr:to>
          <xdr:col>0</xdr:col>
          <xdr:colOff>297180</xdr:colOff>
          <xdr:row>25</xdr:row>
          <xdr:rowOff>30480</xdr:rowOff>
        </xdr:to>
        <xdr:sp macro="" textlink="">
          <xdr:nvSpPr>
            <xdr:cNvPr id="32775" name="Object 7" hidden="1">
              <a:extLst>
                <a:ext uri="{63B3BB69-23CF-44E3-9099-C40C66FF867C}">
                  <a14:compatExt spid="_x0000_s32775"/>
                </a:ext>
                <a:ext uri="{FF2B5EF4-FFF2-40B4-BE49-F238E27FC236}">
                  <a16:creationId xmlns:a16="http://schemas.microsoft.com/office/drawing/2014/main" id="{00000000-0008-0000-6300-000007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0</xdr:rowOff>
        </xdr:from>
        <xdr:to>
          <xdr:col>0</xdr:col>
          <xdr:colOff>297180</xdr:colOff>
          <xdr:row>26</xdr:row>
          <xdr:rowOff>30480</xdr:rowOff>
        </xdr:to>
        <xdr:sp macro="" textlink="">
          <xdr:nvSpPr>
            <xdr:cNvPr id="32776" name="Object 8" hidden="1">
              <a:extLst>
                <a:ext uri="{63B3BB69-23CF-44E3-9099-C40C66FF867C}">
                  <a14:compatExt spid="_x0000_s32776"/>
                </a:ext>
                <a:ext uri="{FF2B5EF4-FFF2-40B4-BE49-F238E27FC236}">
                  <a16:creationId xmlns:a16="http://schemas.microsoft.com/office/drawing/2014/main" id="{00000000-0008-0000-6300-000008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0</xdr:rowOff>
        </xdr:from>
        <xdr:to>
          <xdr:col>0</xdr:col>
          <xdr:colOff>358140</xdr:colOff>
          <xdr:row>27</xdr:row>
          <xdr:rowOff>30480</xdr:rowOff>
        </xdr:to>
        <xdr:sp macro="" textlink="">
          <xdr:nvSpPr>
            <xdr:cNvPr id="32777" name="Object 9" hidden="1">
              <a:extLst>
                <a:ext uri="{63B3BB69-23CF-44E3-9099-C40C66FF867C}">
                  <a14:compatExt spid="_x0000_s32777"/>
                </a:ext>
                <a:ext uri="{FF2B5EF4-FFF2-40B4-BE49-F238E27FC236}">
                  <a16:creationId xmlns:a16="http://schemas.microsoft.com/office/drawing/2014/main" id="{00000000-0008-0000-6300-000009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0</xdr:rowOff>
        </xdr:from>
        <xdr:to>
          <xdr:col>0</xdr:col>
          <xdr:colOff>381000</xdr:colOff>
          <xdr:row>28</xdr:row>
          <xdr:rowOff>30480</xdr:rowOff>
        </xdr:to>
        <xdr:sp macro="" textlink="">
          <xdr:nvSpPr>
            <xdr:cNvPr id="32778" name="Object 10" hidden="1">
              <a:extLst>
                <a:ext uri="{63B3BB69-23CF-44E3-9099-C40C66FF867C}">
                  <a14:compatExt spid="_x0000_s32778"/>
                </a:ext>
                <a:ext uri="{FF2B5EF4-FFF2-40B4-BE49-F238E27FC236}">
                  <a16:creationId xmlns:a16="http://schemas.microsoft.com/office/drawing/2014/main" id="{00000000-0008-0000-6300-00000A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342900</xdr:colOff>
          <xdr:row>29</xdr:row>
          <xdr:rowOff>30480</xdr:rowOff>
        </xdr:to>
        <xdr:sp macro="" textlink="">
          <xdr:nvSpPr>
            <xdr:cNvPr id="32779" name="Object 11" hidden="1">
              <a:extLst>
                <a:ext uri="{63B3BB69-23CF-44E3-9099-C40C66FF867C}">
                  <a14:compatExt spid="_x0000_s32779"/>
                </a:ext>
                <a:ext uri="{FF2B5EF4-FFF2-40B4-BE49-F238E27FC236}">
                  <a16:creationId xmlns:a16="http://schemas.microsoft.com/office/drawing/2014/main" id="{00000000-0008-0000-6300-00000B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0</xdr:rowOff>
        </xdr:from>
        <xdr:to>
          <xdr:col>0</xdr:col>
          <xdr:colOff>396240</xdr:colOff>
          <xdr:row>30</xdr:row>
          <xdr:rowOff>30480</xdr:rowOff>
        </xdr:to>
        <xdr:sp macro="" textlink="">
          <xdr:nvSpPr>
            <xdr:cNvPr id="32780" name="Object 12" hidden="1">
              <a:extLst>
                <a:ext uri="{63B3BB69-23CF-44E3-9099-C40C66FF867C}">
                  <a14:compatExt spid="_x0000_s32780"/>
                </a:ext>
                <a:ext uri="{FF2B5EF4-FFF2-40B4-BE49-F238E27FC236}">
                  <a16:creationId xmlns:a16="http://schemas.microsoft.com/office/drawing/2014/main" id="{00000000-0008-0000-6300-00000C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0</xdr:rowOff>
        </xdr:from>
        <xdr:to>
          <xdr:col>0</xdr:col>
          <xdr:colOff>358140</xdr:colOff>
          <xdr:row>31</xdr:row>
          <xdr:rowOff>30480</xdr:rowOff>
        </xdr:to>
        <xdr:sp macro="" textlink="">
          <xdr:nvSpPr>
            <xdr:cNvPr id="32781" name="Object 13" hidden="1">
              <a:extLst>
                <a:ext uri="{63B3BB69-23CF-44E3-9099-C40C66FF867C}">
                  <a14:compatExt spid="_x0000_s32781"/>
                </a:ext>
                <a:ext uri="{FF2B5EF4-FFF2-40B4-BE49-F238E27FC236}">
                  <a16:creationId xmlns:a16="http://schemas.microsoft.com/office/drawing/2014/main" id="{00000000-0008-0000-6300-00000D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0</xdr:col>
          <xdr:colOff>411480</xdr:colOff>
          <xdr:row>32</xdr:row>
          <xdr:rowOff>30480</xdr:rowOff>
        </xdr:to>
        <xdr:sp macro="" textlink="">
          <xdr:nvSpPr>
            <xdr:cNvPr id="32782" name="Object 14" hidden="1">
              <a:extLst>
                <a:ext uri="{63B3BB69-23CF-44E3-9099-C40C66FF867C}">
                  <a14:compatExt spid="_x0000_s32782"/>
                </a:ext>
                <a:ext uri="{FF2B5EF4-FFF2-40B4-BE49-F238E27FC236}">
                  <a16:creationId xmlns:a16="http://schemas.microsoft.com/office/drawing/2014/main" id="{00000000-0008-0000-6300-00000E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17</xdr:row>
          <xdr:rowOff>0</xdr:rowOff>
        </xdr:from>
        <xdr:to>
          <xdr:col>0</xdr:col>
          <xdr:colOff>601980</xdr:colOff>
          <xdr:row>18</xdr:row>
          <xdr:rowOff>15240</xdr:rowOff>
        </xdr:to>
        <xdr:sp macro="" textlink="">
          <xdr:nvSpPr>
            <xdr:cNvPr id="52225" name="Object 1" hidden="1">
              <a:extLst>
                <a:ext uri="{63B3BB69-23CF-44E3-9099-C40C66FF867C}">
                  <a14:compatExt spid="_x0000_s52225"/>
                </a:ext>
                <a:ext uri="{FF2B5EF4-FFF2-40B4-BE49-F238E27FC236}">
                  <a16:creationId xmlns:a16="http://schemas.microsoft.com/office/drawing/2014/main" id="{00000000-0008-0000-6400-000001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0</xdr:col>
          <xdr:colOff>510540</xdr:colOff>
          <xdr:row>19</xdr:row>
          <xdr:rowOff>15240</xdr:rowOff>
        </xdr:to>
        <xdr:sp macro="" textlink="">
          <xdr:nvSpPr>
            <xdr:cNvPr id="52226" name="Object 2" hidden="1">
              <a:extLst>
                <a:ext uri="{63B3BB69-23CF-44E3-9099-C40C66FF867C}">
                  <a14:compatExt spid="_x0000_s52226"/>
                </a:ext>
                <a:ext uri="{FF2B5EF4-FFF2-40B4-BE49-F238E27FC236}">
                  <a16:creationId xmlns:a16="http://schemas.microsoft.com/office/drawing/2014/main" id="{00000000-0008-0000-6400-000002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0</xdr:rowOff>
        </xdr:from>
        <xdr:to>
          <xdr:col>0</xdr:col>
          <xdr:colOff>586740</xdr:colOff>
          <xdr:row>20</xdr:row>
          <xdr:rowOff>15240</xdr:rowOff>
        </xdr:to>
        <xdr:sp macro="" textlink="">
          <xdr:nvSpPr>
            <xdr:cNvPr id="52227" name="Object 3" hidden="1">
              <a:extLst>
                <a:ext uri="{63B3BB69-23CF-44E3-9099-C40C66FF867C}">
                  <a14:compatExt spid="_x0000_s52227"/>
                </a:ext>
                <a:ext uri="{FF2B5EF4-FFF2-40B4-BE49-F238E27FC236}">
                  <a16:creationId xmlns:a16="http://schemas.microsoft.com/office/drawing/2014/main" id="{00000000-0008-0000-6400-000003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0</xdr:rowOff>
        </xdr:from>
        <xdr:to>
          <xdr:col>0</xdr:col>
          <xdr:colOff>586740</xdr:colOff>
          <xdr:row>21</xdr:row>
          <xdr:rowOff>15240</xdr:rowOff>
        </xdr:to>
        <xdr:sp macro="" textlink="">
          <xdr:nvSpPr>
            <xdr:cNvPr id="52228" name="Object 4" hidden="1">
              <a:extLst>
                <a:ext uri="{63B3BB69-23CF-44E3-9099-C40C66FF867C}">
                  <a14:compatExt spid="_x0000_s52228"/>
                </a:ext>
                <a:ext uri="{FF2B5EF4-FFF2-40B4-BE49-F238E27FC236}">
                  <a16:creationId xmlns:a16="http://schemas.microsoft.com/office/drawing/2014/main" id="{00000000-0008-0000-6400-000004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0</xdr:rowOff>
        </xdr:from>
        <xdr:to>
          <xdr:col>0</xdr:col>
          <xdr:colOff>601980</xdr:colOff>
          <xdr:row>22</xdr:row>
          <xdr:rowOff>15240</xdr:rowOff>
        </xdr:to>
        <xdr:sp macro="" textlink="">
          <xdr:nvSpPr>
            <xdr:cNvPr id="52229" name="Object 5" hidden="1">
              <a:extLst>
                <a:ext uri="{63B3BB69-23CF-44E3-9099-C40C66FF867C}">
                  <a14:compatExt spid="_x0000_s52229"/>
                </a:ext>
                <a:ext uri="{FF2B5EF4-FFF2-40B4-BE49-F238E27FC236}">
                  <a16:creationId xmlns:a16="http://schemas.microsoft.com/office/drawing/2014/main" id="{00000000-0008-0000-6400-000005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0</xdr:rowOff>
        </xdr:from>
        <xdr:to>
          <xdr:col>0</xdr:col>
          <xdr:colOff>167640</xdr:colOff>
          <xdr:row>24</xdr:row>
          <xdr:rowOff>15240</xdr:rowOff>
        </xdr:to>
        <xdr:sp macro="" textlink="">
          <xdr:nvSpPr>
            <xdr:cNvPr id="52230" name="Object 6" hidden="1">
              <a:extLst>
                <a:ext uri="{63B3BB69-23CF-44E3-9099-C40C66FF867C}">
                  <a14:compatExt spid="_x0000_s52230"/>
                </a:ext>
                <a:ext uri="{FF2B5EF4-FFF2-40B4-BE49-F238E27FC236}">
                  <a16:creationId xmlns:a16="http://schemas.microsoft.com/office/drawing/2014/main" id="{00000000-0008-0000-6400-000006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xdr:row>
          <xdr:rowOff>0</xdr:rowOff>
        </xdr:from>
        <xdr:to>
          <xdr:col>0</xdr:col>
          <xdr:colOff>297180</xdr:colOff>
          <xdr:row>25</xdr:row>
          <xdr:rowOff>30480</xdr:rowOff>
        </xdr:to>
        <xdr:sp macro="" textlink="">
          <xdr:nvSpPr>
            <xdr:cNvPr id="52231" name="Object 7" hidden="1">
              <a:extLst>
                <a:ext uri="{63B3BB69-23CF-44E3-9099-C40C66FF867C}">
                  <a14:compatExt spid="_x0000_s52231"/>
                </a:ext>
                <a:ext uri="{FF2B5EF4-FFF2-40B4-BE49-F238E27FC236}">
                  <a16:creationId xmlns:a16="http://schemas.microsoft.com/office/drawing/2014/main" id="{00000000-0008-0000-6400-000007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0</xdr:rowOff>
        </xdr:from>
        <xdr:to>
          <xdr:col>0</xdr:col>
          <xdr:colOff>297180</xdr:colOff>
          <xdr:row>26</xdr:row>
          <xdr:rowOff>30480</xdr:rowOff>
        </xdr:to>
        <xdr:sp macro="" textlink="">
          <xdr:nvSpPr>
            <xdr:cNvPr id="52232" name="Object 8" hidden="1">
              <a:extLst>
                <a:ext uri="{63B3BB69-23CF-44E3-9099-C40C66FF867C}">
                  <a14:compatExt spid="_x0000_s52232"/>
                </a:ext>
                <a:ext uri="{FF2B5EF4-FFF2-40B4-BE49-F238E27FC236}">
                  <a16:creationId xmlns:a16="http://schemas.microsoft.com/office/drawing/2014/main" id="{00000000-0008-0000-6400-000008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0</xdr:rowOff>
        </xdr:from>
        <xdr:to>
          <xdr:col>0</xdr:col>
          <xdr:colOff>358140</xdr:colOff>
          <xdr:row>27</xdr:row>
          <xdr:rowOff>30480</xdr:rowOff>
        </xdr:to>
        <xdr:sp macro="" textlink="">
          <xdr:nvSpPr>
            <xdr:cNvPr id="52233" name="Object 9" hidden="1">
              <a:extLst>
                <a:ext uri="{63B3BB69-23CF-44E3-9099-C40C66FF867C}">
                  <a14:compatExt spid="_x0000_s52233"/>
                </a:ext>
                <a:ext uri="{FF2B5EF4-FFF2-40B4-BE49-F238E27FC236}">
                  <a16:creationId xmlns:a16="http://schemas.microsoft.com/office/drawing/2014/main" id="{00000000-0008-0000-6400-000009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0</xdr:rowOff>
        </xdr:from>
        <xdr:to>
          <xdr:col>0</xdr:col>
          <xdr:colOff>381000</xdr:colOff>
          <xdr:row>28</xdr:row>
          <xdr:rowOff>30480</xdr:rowOff>
        </xdr:to>
        <xdr:sp macro="" textlink="">
          <xdr:nvSpPr>
            <xdr:cNvPr id="52234" name="Object 10" hidden="1">
              <a:extLst>
                <a:ext uri="{63B3BB69-23CF-44E3-9099-C40C66FF867C}">
                  <a14:compatExt spid="_x0000_s52234"/>
                </a:ext>
                <a:ext uri="{FF2B5EF4-FFF2-40B4-BE49-F238E27FC236}">
                  <a16:creationId xmlns:a16="http://schemas.microsoft.com/office/drawing/2014/main" id="{00000000-0008-0000-6400-00000A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342900</xdr:colOff>
          <xdr:row>29</xdr:row>
          <xdr:rowOff>30480</xdr:rowOff>
        </xdr:to>
        <xdr:sp macro="" textlink="">
          <xdr:nvSpPr>
            <xdr:cNvPr id="52235" name="Object 11" hidden="1">
              <a:extLst>
                <a:ext uri="{63B3BB69-23CF-44E3-9099-C40C66FF867C}">
                  <a14:compatExt spid="_x0000_s52235"/>
                </a:ext>
                <a:ext uri="{FF2B5EF4-FFF2-40B4-BE49-F238E27FC236}">
                  <a16:creationId xmlns:a16="http://schemas.microsoft.com/office/drawing/2014/main" id="{00000000-0008-0000-6400-00000B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0</xdr:rowOff>
        </xdr:from>
        <xdr:to>
          <xdr:col>0</xdr:col>
          <xdr:colOff>396240</xdr:colOff>
          <xdr:row>30</xdr:row>
          <xdr:rowOff>30480</xdr:rowOff>
        </xdr:to>
        <xdr:sp macro="" textlink="">
          <xdr:nvSpPr>
            <xdr:cNvPr id="52236" name="Object 12" hidden="1">
              <a:extLst>
                <a:ext uri="{63B3BB69-23CF-44E3-9099-C40C66FF867C}">
                  <a14:compatExt spid="_x0000_s52236"/>
                </a:ext>
                <a:ext uri="{FF2B5EF4-FFF2-40B4-BE49-F238E27FC236}">
                  <a16:creationId xmlns:a16="http://schemas.microsoft.com/office/drawing/2014/main" id="{00000000-0008-0000-6400-00000C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0</xdr:rowOff>
        </xdr:from>
        <xdr:to>
          <xdr:col>0</xdr:col>
          <xdr:colOff>358140</xdr:colOff>
          <xdr:row>31</xdr:row>
          <xdr:rowOff>30480</xdr:rowOff>
        </xdr:to>
        <xdr:sp macro="" textlink="">
          <xdr:nvSpPr>
            <xdr:cNvPr id="52237" name="Object 13" hidden="1">
              <a:extLst>
                <a:ext uri="{63B3BB69-23CF-44E3-9099-C40C66FF867C}">
                  <a14:compatExt spid="_x0000_s52237"/>
                </a:ext>
                <a:ext uri="{FF2B5EF4-FFF2-40B4-BE49-F238E27FC236}">
                  <a16:creationId xmlns:a16="http://schemas.microsoft.com/office/drawing/2014/main" id="{00000000-0008-0000-6400-00000D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0</xdr:col>
          <xdr:colOff>411480</xdr:colOff>
          <xdr:row>32</xdr:row>
          <xdr:rowOff>30480</xdr:rowOff>
        </xdr:to>
        <xdr:sp macro="" textlink="">
          <xdr:nvSpPr>
            <xdr:cNvPr id="52238" name="Object 14" hidden="1">
              <a:extLst>
                <a:ext uri="{63B3BB69-23CF-44E3-9099-C40C66FF867C}">
                  <a14:compatExt spid="_x0000_s52238"/>
                </a:ext>
                <a:ext uri="{FF2B5EF4-FFF2-40B4-BE49-F238E27FC236}">
                  <a16:creationId xmlns:a16="http://schemas.microsoft.com/office/drawing/2014/main" id="{00000000-0008-0000-6400-00000EC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17</xdr:row>
          <xdr:rowOff>0</xdr:rowOff>
        </xdr:from>
        <xdr:to>
          <xdr:col>0</xdr:col>
          <xdr:colOff>601980</xdr:colOff>
          <xdr:row>18</xdr:row>
          <xdr:rowOff>15240</xdr:rowOff>
        </xdr:to>
        <xdr:sp macro="" textlink="">
          <xdr:nvSpPr>
            <xdr:cNvPr id="53249" name="Object 1" hidden="1">
              <a:extLst>
                <a:ext uri="{63B3BB69-23CF-44E3-9099-C40C66FF867C}">
                  <a14:compatExt spid="_x0000_s53249"/>
                </a:ext>
                <a:ext uri="{FF2B5EF4-FFF2-40B4-BE49-F238E27FC236}">
                  <a16:creationId xmlns:a16="http://schemas.microsoft.com/office/drawing/2014/main" id="{00000000-0008-0000-6500-000001D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0</xdr:col>
          <xdr:colOff>510540</xdr:colOff>
          <xdr:row>19</xdr:row>
          <xdr:rowOff>15240</xdr:rowOff>
        </xdr:to>
        <xdr:sp macro="" textlink="">
          <xdr:nvSpPr>
            <xdr:cNvPr id="53250" name="Object 2" hidden="1">
              <a:extLst>
                <a:ext uri="{63B3BB69-23CF-44E3-9099-C40C66FF867C}">
                  <a14:compatExt spid="_x0000_s53250"/>
                </a:ext>
                <a:ext uri="{FF2B5EF4-FFF2-40B4-BE49-F238E27FC236}">
                  <a16:creationId xmlns:a16="http://schemas.microsoft.com/office/drawing/2014/main" id="{00000000-0008-0000-6500-000002D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0</xdr:rowOff>
        </xdr:from>
        <xdr:to>
          <xdr:col>0</xdr:col>
          <xdr:colOff>586740</xdr:colOff>
          <xdr:row>20</xdr:row>
          <xdr:rowOff>15240</xdr:rowOff>
        </xdr:to>
        <xdr:sp macro="" textlink="">
          <xdr:nvSpPr>
            <xdr:cNvPr id="53251" name="Object 3" hidden="1">
              <a:extLst>
                <a:ext uri="{63B3BB69-23CF-44E3-9099-C40C66FF867C}">
                  <a14:compatExt spid="_x0000_s53251"/>
                </a:ext>
                <a:ext uri="{FF2B5EF4-FFF2-40B4-BE49-F238E27FC236}">
                  <a16:creationId xmlns:a16="http://schemas.microsoft.com/office/drawing/2014/main" id="{00000000-0008-0000-6500-000003D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0</xdr:rowOff>
        </xdr:from>
        <xdr:to>
          <xdr:col>0</xdr:col>
          <xdr:colOff>586740</xdr:colOff>
          <xdr:row>21</xdr:row>
          <xdr:rowOff>15240</xdr:rowOff>
        </xdr:to>
        <xdr:sp macro="" textlink="">
          <xdr:nvSpPr>
            <xdr:cNvPr id="53252" name="Object 4" hidden="1">
              <a:extLst>
                <a:ext uri="{63B3BB69-23CF-44E3-9099-C40C66FF867C}">
                  <a14:compatExt spid="_x0000_s53252"/>
                </a:ext>
                <a:ext uri="{FF2B5EF4-FFF2-40B4-BE49-F238E27FC236}">
                  <a16:creationId xmlns:a16="http://schemas.microsoft.com/office/drawing/2014/main" id="{00000000-0008-0000-6500-000004D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0</xdr:rowOff>
        </xdr:from>
        <xdr:to>
          <xdr:col>0</xdr:col>
          <xdr:colOff>601980</xdr:colOff>
          <xdr:row>22</xdr:row>
          <xdr:rowOff>15240</xdr:rowOff>
        </xdr:to>
        <xdr:sp macro="" textlink="">
          <xdr:nvSpPr>
            <xdr:cNvPr id="53253" name="Object 5" hidden="1">
              <a:extLst>
                <a:ext uri="{63B3BB69-23CF-44E3-9099-C40C66FF867C}">
                  <a14:compatExt spid="_x0000_s53253"/>
                </a:ext>
                <a:ext uri="{FF2B5EF4-FFF2-40B4-BE49-F238E27FC236}">
                  <a16:creationId xmlns:a16="http://schemas.microsoft.com/office/drawing/2014/main" id="{00000000-0008-0000-6500-000005D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0</xdr:rowOff>
        </xdr:from>
        <xdr:to>
          <xdr:col>0</xdr:col>
          <xdr:colOff>167640</xdr:colOff>
          <xdr:row>24</xdr:row>
          <xdr:rowOff>15240</xdr:rowOff>
        </xdr:to>
        <xdr:sp macro="" textlink="">
          <xdr:nvSpPr>
            <xdr:cNvPr id="53254" name="Object 6" hidden="1">
              <a:extLst>
                <a:ext uri="{63B3BB69-23CF-44E3-9099-C40C66FF867C}">
                  <a14:compatExt spid="_x0000_s53254"/>
                </a:ext>
                <a:ext uri="{FF2B5EF4-FFF2-40B4-BE49-F238E27FC236}">
                  <a16:creationId xmlns:a16="http://schemas.microsoft.com/office/drawing/2014/main" id="{00000000-0008-0000-6500-000006D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xdr:row>
          <xdr:rowOff>0</xdr:rowOff>
        </xdr:from>
        <xdr:to>
          <xdr:col>0</xdr:col>
          <xdr:colOff>297180</xdr:colOff>
          <xdr:row>25</xdr:row>
          <xdr:rowOff>30480</xdr:rowOff>
        </xdr:to>
        <xdr:sp macro="" textlink="">
          <xdr:nvSpPr>
            <xdr:cNvPr id="53255" name="Object 7" hidden="1">
              <a:extLst>
                <a:ext uri="{63B3BB69-23CF-44E3-9099-C40C66FF867C}">
                  <a14:compatExt spid="_x0000_s53255"/>
                </a:ext>
                <a:ext uri="{FF2B5EF4-FFF2-40B4-BE49-F238E27FC236}">
                  <a16:creationId xmlns:a16="http://schemas.microsoft.com/office/drawing/2014/main" id="{00000000-0008-0000-6500-000007D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0</xdr:rowOff>
        </xdr:from>
        <xdr:to>
          <xdr:col>0</xdr:col>
          <xdr:colOff>297180</xdr:colOff>
          <xdr:row>26</xdr:row>
          <xdr:rowOff>30480</xdr:rowOff>
        </xdr:to>
        <xdr:sp macro="" textlink="">
          <xdr:nvSpPr>
            <xdr:cNvPr id="53256" name="Object 8" hidden="1">
              <a:extLst>
                <a:ext uri="{63B3BB69-23CF-44E3-9099-C40C66FF867C}">
                  <a14:compatExt spid="_x0000_s53256"/>
                </a:ext>
                <a:ext uri="{FF2B5EF4-FFF2-40B4-BE49-F238E27FC236}">
                  <a16:creationId xmlns:a16="http://schemas.microsoft.com/office/drawing/2014/main" id="{00000000-0008-0000-6500-000008D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0</xdr:rowOff>
        </xdr:from>
        <xdr:to>
          <xdr:col>0</xdr:col>
          <xdr:colOff>358140</xdr:colOff>
          <xdr:row>27</xdr:row>
          <xdr:rowOff>30480</xdr:rowOff>
        </xdr:to>
        <xdr:sp macro="" textlink="">
          <xdr:nvSpPr>
            <xdr:cNvPr id="53257" name="Object 9" hidden="1">
              <a:extLst>
                <a:ext uri="{63B3BB69-23CF-44E3-9099-C40C66FF867C}">
                  <a14:compatExt spid="_x0000_s53257"/>
                </a:ext>
                <a:ext uri="{FF2B5EF4-FFF2-40B4-BE49-F238E27FC236}">
                  <a16:creationId xmlns:a16="http://schemas.microsoft.com/office/drawing/2014/main" id="{00000000-0008-0000-6500-000009D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0</xdr:rowOff>
        </xdr:from>
        <xdr:to>
          <xdr:col>0</xdr:col>
          <xdr:colOff>381000</xdr:colOff>
          <xdr:row>28</xdr:row>
          <xdr:rowOff>30480</xdr:rowOff>
        </xdr:to>
        <xdr:sp macro="" textlink="">
          <xdr:nvSpPr>
            <xdr:cNvPr id="53258" name="Object 10" hidden="1">
              <a:extLst>
                <a:ext uri="{63B3BB69-23CF-44E3-9099-C40C66FF867C}">
                  <a14:compatExt spid="_x0000_s53258"/>
                </a:ext>
                <a:ext uri="{FF2B5EF4-FFF2-40B4-BE49-F238E27FC236}">
                  <a16:creationId xmlns:a16="http://schemas.microsoft.com/office/drawing/2014/main" id="{00000000-0008-0000-6500-00000AD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342900</xdr:colOff>
          <xdr:row>29</xdr:row>
          <xdr:rowOff>30480</xdr:rowOff>
        </xdr:to>
        <xdr:sp macro="" textlink="">
          <xdr:nvSpPr>
            <xdr:cNvPr id="53259" name="Object 11" hidden="1">
              <a:extLst>
                <a:ext uri="{63B3BB69-23CF-44E3-9099-C40C66FF867C}">
                  <a14:compatExt spid="_x0000_s53259"/>
                </a:ext>
                <a:ext uri="{FF2B5EF4-FFF2-40B4-BE49-F238E27FC236}">
                  <a16:creationId xmlns:a16="http://schemas.microsoft.com/office/drawing/2014/main" id="{00000000-0008-0000-6500-00000BD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0</xdr:rowOff>
        </xdr:from>
        <xdr:to>
          <xdr:col>0</xdr:col>
          <xdr:colOff>396240</xdr:colOff>
          <xdr:row>30</xdr:row>
          <xdr:rowOff>30480</xdr:rowOff>
        </xdr:to>
        <xdr:sp macro="" textlink="">
          <xdr:nvSpPr>
            <xdr:cNvPr id="53260" name="Object 12" hidden="1">
              <a:extLst>
                <a:ext uri="{63B3BB69-23CF-44E3-9099-C40C66FF867C}">
                  <a14:compatExt spid="_x0000_s53260"/>
                </a:ext>
                <a:ext uri="{FF2B5EF4-FFF2-40B4-BE49-F238E27FC236}">
                  <a16:creationId xmlns:a16="http://schemas.microsoft.com/office/drawing/2014/main" id="{00000000-0008-0000-6500-00000CD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0</xdr:rowOff>
        </xdr:from>
        <xdr:to>
          <xdr:col>0</xdr:col>
          <xdr:colOff>358140</xdr:colOff>
          <xdr:row>31</xdr:row>
          <xdr:rowOff>30480</xdr:rowOff>
        </xdr:to>
        <xdr:sp macro="" textlink="">
          <xdr:nvSpPr>
            <xdr:cNvPr id="53261" name="Object 13" hidden="1">
              <a:extLst>
                <a:ext uri="{63B3BB69-23CF-44E3-9099-C40C66FF867C}">
                  <a14:compatExt spid="_x0000_s53261"/>
                </a:ext>
                <a:ext uri="{FF2B5EF4-FFF2-40B4-BE49-F238E27FC236}">
                  <a16:creationId xmlns:a16="http://schemas.microsoft.com/office/drawing/2014/main" id="{00000000-0008-0000-6500-00000DD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0</xdr:col>
          <xdr:colOff>411480</xdr:colOff>
          <xdr:row>32</xdr:row>
          <xdr:rowOff>30480</xdr:rowOff>
        </xdr:to>
        <xdr:sp macro="" textlink="">
          <xdr:nvSpPr>
            <xdr:cNvPr id="53262" name="Object 14" hidden="1">
              <a:extLst>
                <a:ext uri="{63B3BB69-23CF-44E3-9099-C40C66FF867C}">
                  <a14:compatExt spid="_x0000_s53262"/>
                </a:ext>
                <a:ext uri="{FF2B5EF4-FFF2-40B4-BE49-F238E27FC236}">
                  <a16:creationId xmlns:a16="http://schemas.microsoft.com/office/drawing/2014/main" id="{00000000-0008-0000-6500-00000ED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0</xdr:colOff>
      <xdr:row>24</xdr:row>
      <xdr:rowOff>0</xdr:rowOff>
    </xdr:from>
    <xdr:to>
      <xdr:col>5</xdr:col>
      <xdr:colOff>565150</xdr:colOff>
      <xdr:row>26</xdr:row>
      <xdr:rowOff>127000</xdr:rowOff>
    </xdr:to>
    <xdr:pic>
      <xdr:nvPicPr>
        <xdr:cNvPr id="2" name="Picture 1">
          <a:extLst>
            <a:ext uri="{FF2B5EF4-FFF2-40B4-BE49-F238E27FC236}">
              <a16:creationId xmlns:a16="http://schemas.microsoft.com/office/drawing/2014/main" id="{34054313-7D27-47D4-9493-6D1DB4D96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632450"/>
          <a:ext cx="5981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24</xdr:row>
      <xdr:rowOff>0</xdr:rowOff>
    </xdr:from>
    <xdr:to>
      <xdr:col>5</xdr:col>
      <xdr:colOff>565150</xdr:colOff>
      <xdr:row>26</xdr:row>
      <xdr:rowOff>127000</xdr:rowOff>
    </xdr:to>
    <xdr:pic>
      <xdr:nvPicPr>
        <xdr:cNvPr id="2" name="Picture 1">
          <a:extLst>
            <a:ext uri="{FF2B5EF4-FFF2-40B4-BE49-F238E27FC236}">
              <a16:creationId xmlns:a16="http://schemas.microsoft.com/office/drawing/2014/main" id="{37D2B1C8-E0F0-4F3E-9768-C683CE81C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632450"/>
          <a:ext cx="5981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LM\CFVM\2006Q2\Deterministic%20Scenarios%20New%20v2\CDN%20Deterministic%20Scenarios\YLDCRV7.5%202006Q2%20IF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lfg-my.sharepoint.com/C:/cagtafsr05/Users/Interest%20Rate%20Scenarios/2014Q1%20-%20Mar%2014%202014/Det/ASB%20QIS/Phase%203/Yield%20Curve%20History%20and%20Scenario%20Builder%20formulas%20-%20Mar%2014%20rates%20-%20New%20Standard.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lfg-my.sharepoint.com/C:/cagtafsr05/Users/mpromislow/Personal/SOA/QWC%202020/submission/MP-02-2021%20(Recovered).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docs.live.net/cagtafsr05/Users/mpromislow/Personal/SOA/QWC%202020/215111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protectiveoffice-my.sharepoint.com/Users/user/Downloads/Spring%202023%20LFMU%20Grading%20Rubric%20-%20MG%20edits%20(1).xlsb"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https://societyofactuaries-my.sharepoint.com/personal/dnorris_soa_org/Documents/Documents/Projects/2025-26%20Curriculum/FINAL%20CURATED%20PAST%20EXAMS/Fully%20Assembled/ILA201I%20Curated%20Past%20Exam%20Excel%20Files.xlsx" TargetMode="External"/><Relationship Id="rId1" Type="http://schemas.openxmlformats.org/officeDocument/2006/relationships/externalLinkPath" Target="ILA201I%20Curated%20Past%20Exam%20Excel%20Fi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arepoint.soa.org/Users/d830/Desktop/MSC/IWT/2018/Q2/selective%20lapsation%20excel%20too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meriprise-my.sharepoint.com/C:/Users/t79bpec/AppData/Local/Temp/notes0AC7F3/SZ-1-2014%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meriprise-my.sharepoint.com/personal/derek_l_farmer_ampf_com/Documents/SOA/Question%20Writing/2022%20Exams/1-10%20Question%20Download/LS-2-2022.xlsb"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H:\2024-12%20SOA%20Grading\Fall%202024%20ILA%20LFMU%20Grading%20Rubric-Q4_B.xlsx" TargetMode="External"/><Relationship Id="rId1" Type="http://schemas.openxmlformats.org/officeDocument/2006/relationships/externalLinkPath" Target="file:///H:\2024-12%20SOA%20Grading\Fall%202024%20ILA%20LFMU%20Grading%20Rubric-Q4_B.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ameriprise-my.sharepoint.com/personal/derek_l_farmer_ampf_com/Documents/SOA/Question%20Writing/2022%20Exams/1-10%20Question%20Download/EC-02-2022.xls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meriprise-my.sharepoint.com/personal/derek_l_farmer_ampf_com/Documents/SOA/Question%20Writing/2022%20Exams/1-10%20Question%20Download/SG-2-2022.xlsb"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rolan\OneDrive\Documents\Spring2024\Spring%202024%20ILA%20LFMU%20Grading%20Rubric.xlsx" TargetMode="External"/><Relationship Id="rId1" Type="http://schemas.openxmlformats.org/officeDocument/2006/relationships/externalLinkPath" Target="file:///C:\Users\rolan\OneDrive\Documents\Spring2024\Spring%202024%20ILA%20LFMU%20Grading%20Rubric.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lfg-my.sharepoint.com/C:/cagtafsr05/Users/mpromislow/Personal/SOA/QWC%202020/215111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CalcBase"/>
      <sheetName val="CalcUp"/>
      <sheetName val="CalcDown"/>
      <sheetName val="OutBase"/>
      <sheetName val="OutUp"/>
      <sheetName val="OutDown"/>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Summary"/>
      <sheetName val="BoC rates"/>
      <sheetName val="Graphs (Original)"/>
      <sheetName val="Spots Conversion"/>
      <sheetName val="rates"/>
      <sheetName val="Graphs"/>
      <sheetName val="Base"/>
      <sheetName val="SC1"/>
      <sheetName val="SC2"/>
      <sheetName val="SC3"/>
      <sheetName val="SC4"/>
      <sheetName val="SC5"/>
      <sheetName val="SC6"/>
      <sheetName val="SC7"/>
      <sheetName val="SC8"/>
      <sheetName val="Assumptions for AXIS Export"/>
      <sheetName val="AXIS Export"/>
      <sheetName val="V122544-pre96 LT"/>
      <sheetName val="V122531-pre96 (90day)"/>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
          <cell r="K5">
            <v>3.3000000000000002E-2</v>
          </cell>
          <cell r="M5">
            <v>0.104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xt"/>
      <sheetName val="syllabus list"/>
      <sheetName val="Part b"/>
      <sheetName val="Part d"/>
      <sheetName val="Derivation"/>
    </sheetNames>
    <sheetDataSet>
      <sheetData sheetId="0"/>
      <sheetData sheetId="1"/>
      <sheetData sheetId="2">
        <row r="4">
          <cell r="B4" t="str">
            <v>US GAAP For Life Insurers, Second Edition, Ch 13 (excl. 13.7)</v>
          </cell>
        </row>
      </sheetData>
      <sheetData sheetId="3"/>
      <sheetData sheetId="4"/>
      <sheetData sheetId="5">
        <row r="52">
          <cell r="J52">
            <v>0.05</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Description"/>
      <sheetName val="Note"/>
      <sheetName val="Input - Entrée de données"/>
      <sheetName val="Derivation"/>
      <sheetName val="Chart - Graphique"/>
      <sheetName val="Output - Résultats"/>
      <sheetName val="Équivalences"/>
      <sheetName val="Sheet1"/>
    </sheetNames>
    <sheetDataSet>
      <sheetData sheetId="0"/>
      <sheetData sheetId="1"/>
      <sheetData sheetId="2">
        <row r="1">
          <cell r="I1" t="str">
            <v>Français / French</v>
          </cell>
        </row>
      </sheetData>
      <sheetData sheetId="3"/>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yllabus list"/>
      <sheetName val="Q1 Rubric (US)"/>
      <sheetName val="Q1 Rubric (CAN)"/>
      <sheetName val="Q2 Rubric"/>
      <sheetName val="Q2 Calculations"/>
      <sheetName val="Q3 Rubric"/>
      <sheetName val="Q3 Calculations"/>
      <sheetName val="Q4 Rubric"/>
      <sheetName val="Q5 Rubric"/>
      <sheetName val="Q5 Calculations"/>
      <sheetName val="Q6 Rubric"/>
      <sheetName val="Q6 Calculations"/>
      <sheetName val="Q7 Rubric"/>
      <sheetName val="Q7 Calculations"/>
      <sheetName val="Q8 Rubric"/>
      <sheetName val="Q8 Calculations (part a)"/>
      <sheetName val="Q8 Calculations (part b)"/>
      <sheetName val="Q9 Rubric"/>
      <sheetName val="Q9 Excel Grid"/>
      <sheetName val="Q9 Calculations (part b)"/>
      <sheetName val="Q10 Rubric"/>
    </sheetNames>
    <sheetDataSet>
      <sheetData sheetId="0">
        <row r="4">
          <cell r="D4" t="str">
            <v>LO#1 CIA Draft Educational Note: IFRS 17 – Fair Value of Insurance Contracts, Oct 2021</v>
          </cell>
        </row>
        <row r="5">
          <cell r="D5" t="str">
            <v>LO#1 CIA Draft Explanatory Report: IFRS 17 Expenses, Apr 2021</v>
          </cell>
        </row>
        <row r="6">
          <cell r="D6" t="str">
            <v>LO#1 CIA Educational Note - IFRS 17 Discount Rates for Life and Health Insurance Contracts, Jun 2020</v>
          </cell>
        </row>
        <row r="7">
          <cell r="D7" t="str">
            <v>LO#1 CIA Educational Note: Comparison of IFRS 17 to Current CIA Standard of Practice, Sept 2018</v>
          </cell>
        </row>
        <row r="8">
          <cell r="D8" t="str">
            <v>LO#1 CIA Educational Note: Dividend Determination for Participating Policies, Jan 2014</v>
          </cell>
        </row>
        <row r="9">
          <cell r="D9" t="str">
            <v>LO#1 CIA Educational Note: Expected Mortality: Fully Underwritten Canadian Individual Life Insurance Policies: July 2002 (only sections 100, 200, and 300)</v>
          </cell>
        </row>
        <row r="10">
          <cell r="D10" t="str">
            <v xml:space="preserve">LO#1 CIA Educational Note: Guidance on Fairness Opinions Required Under the Insurance Companies Act Pursuant to Bill C-57 (2005) </v>
          </cell>
        </row>
        <row r="11">
          <cell r="D11" t="str">
            <v>LO#1 CIA Educational Note: IFRS 17 – Coverage Units for Life and Health Insurance Contracts, Dec 2019</v>
          </cell>
        </row>
        <row r="12">
          <cell r="D12" t="str">
            <v>LO#1 CIA Educational Note: IFRS 17 Estimates of Future Cash Flows for Life and Health Insurance Contracts, Sep 2019</v>
          </cell>
        </row>
        <row r="13">
          <cell r="D13" t="str">
            <v>LO#1 CIA Educational Note: IFRS 17 Market Consistent Valuation of Financial Guarantees for Life and Health Insurance Contracts, May 2020</v>
          </cell>
        </row>
        <row r="14">
          <cell r="D14" t="str">
            <v>LO#1 CIA Educational Note: IFRS 17 Measurement and Presentation of Canadian Participating Insurance Contracts, Apr 2021</v>
          </cell>
        </row>
        <row r="15">
          <cell r="D15" t="str">
            <v>LO#1 CIA Educational Note: IFRS 17 Risk Adjustment for Non-Financial Risk for Life and Health Insurance Contracts, Jul 2019</v>
          </cell>
        </row>
        <row r="16">
          <cell r="D16" t="str">
            <v>LO#1 CIA Educational Note: Selective Lapsation for Renewable Term Insurance Products, February 2017</v>
          </cell>
        </row>
        <row r="17">
          <cell r="D17" t="str">
            <v>LO#1 CIA Final Communication of a Promulgation of Prescribed Mortality Improvement Rates (July 2017)</v>
          </cell>
        </row>
        <row r="18">
          <cell r="D18" t="str">
            <v>LO#1 CIA Report - Lapse Experience Study for 10-year Term Insurance, Jan 2014, pp. 6 -32</v>
          </cell>
        </row>
        <row r="19">
          <cell r="D19" t="str">
            <v>LO#1 CIA Research Paper - Lapse Experience under UL Level COI Policies, Sep 2015, pp. 4 - 8</v>
          </cell>
        </row>
        <row r="20">
          <cell r="D20" t="str">
            <v>LO#1 IFRS 17 Insurance Contracts Example (Spreadsheet Model)</v>
          </cell>
        </row>
        <row r="21">
          <cell r="D21" t="str">
            <v>LO#1 LFM-141-18: IFRS 17 Insurance Contracts – IFRS Standards Effects Analysis, May 2017, IASB (sections 1, 2, 4 &amp; 6.1-2 only) - Reduced Page count as per US Exam?</v>
          </cell>
        </row>
        <row r="22">
          <cell r="D22" t="str">
            <v>LO#1 LFM-632-23: OSFI B-3 Sound Reinsurance Practices and Procedures</v>
          </cell>
        </row>
        <row r="23">
          <cell r="D23" t="str">
            <v>LO#1 LFM-634-23: CIA Standards of Practice: Insurance Sections (excluding 2600), Jan 2023</v>
          </cell>
        </row>
        <row r="24">
          <cell r="D24" t="str">
            <v>LO#1 LFM-635-13: Participating Account Management and Disclosure to Participating Policyholders and Adjustable Policyholders</v>
          </cell>
        </row>
        <row r="25">
          <cell r="D25" t="str">
            <v>LO#1 LFM-649-22: International Actuarial Note 100 Application of IFRS 17 (exclude Section C: Chapter 11 and Section D)</v>
          </cell>
        </row>
        <row r="26">
          <cell r="D26" t="str">
            <v>LO#1 LFM-655-21: IFRS Standards Exposure Draft Amendments to IFRS 17, June 2019</v>
          </cell>
        </row>
        <row r="27">
          <cell r="D27" t="str">
            <v>LO#1 LFM-656-21: PwC In transition: The latest on IFRS 17 Implementation, Feb 2020</v>
          </cell>
        </row>
        <row r="28">
          <cell r="D28" t="str">
            <v>LO#1 LFM-657-22: The IFRS 17 Contractual Service Margin: A Life Insurance Perspective (Sections 1-4.7 &amp; 5)</v>
          </cell>
        </row>
        <row r="29">
          <cell r="D29" t="str">
            <v>LO#1 LFM-658-23: Risk Adjustments For Insurance Contracts Under IFRS 17, Chapter 2 “Principles Underlying Risk adjustments”</v>
          </cell>
        </row>
        <row r="30">
          <cell r="D30" t="str">
            <v>LO#1 OSFI Guideline E15: Appointed Actuary -  Legal Requirements, Qualification and External Review (Sep 2012)</v>
          </cell>
        </row>
        <row r="31">
          <cell r="D31" t="str">
            <v>LO#1 Implementation Considerations For VA Market Risk Benefits, Financial Reporter, Sep 2019</v>
          </cell>
        </row>
        <row r="32">
          <cell r="D32" t="str">
            <v>LO#1 LFM-848-22: A Comprehensive Guide – Reinsurance, 2020, (Sections 1, 2, 4, 7, Appendix D)</v>
          </cell>
        </row>
        <row r="33">
          <cell r="D33" t="str">
            <v>LO#1 LFM-856-23: US GAAP for Life Insurers, 2022, Chapter 1:  US GAAP Objectives and their Implications to Insurers</v>
          </cell>
        </row>
        <row r="34">
          <cell r="D34" t="str">
            <v>LO#1 LFM-856-23: US GAAP for Life Insurers, 2022, Chapter 11: Deferred Annuities</v>
          </cell>
        </row>
        <row r="35">
          <cell r="D35" t="str">
            <v>LO#1 LFM-856-23: US GAAP for Life Insurers, 2022, Chapter 12: Annuities Payout</v>
          </cell>
        </row>
        <row r="36">
          <cell r="D36" t="str">
            <v>LO#1 LFM-856-23: US GAAP for Life Insurers, 2022, Chapter 13: Group Pension (only sections 2.3, 3 &amp; 4)</v>
          </cell>
        </row>
        <row r="37">
          <cell r="D37" t="str">
            <v>LO#1 LFM-856-23: US GAAP for Life Insurers, 2022, Chapter 19: Investment Accounting</v>
          </cell>
        </row>
        <row r="38">
          <cell r="D38" t="str">
            <v>LO#1 LFM-856-23: US GAAP for Life Insurers, 2022, Chapter 20: Derivatives and Hedging</v>
          </cell>
        </row>
        <row r="39">
          <cell r="D39" t="str">
            <v>LO#1 LFM-856-23: US GAAP for Life Insurers, 2022, Chapter 3: Product Classification and Measurement</v>
          </cell>
        </row>
        <row r="40">
          <cell r="D40" t="str">
            <v>LO#1 LFM-856-23: US GAAP for Life Insurers, 2022, Chapter 4: Expenses</v>
          </cell>
        </row>
        <row r="41">
          <cell r="D41" t="str">
            <v>LO#1 LFM-856-23: US GAAP for Life Insurers, 2022, Chapter 5: Non-Participating Traditional Life Insurance</v>
          </cell>
        </row>
        <row r="42">
          <cell r="D42" t="str">
            <v>LO#1 LFM-856-23: US GAAP for Life Insurers, 2022, Chapter 6: Participating Traditional Life Insurance</v>
          </cell>
        </row>
        <row r="43">
          <cell r="D43" t="str">
            <v>LO#1 LFM-856-23: US GAAP for Life Insurers, 2022, Chapter 7: Universal Life Insurance (only sections 1, 2, 5-7)</v>
          </cell>
        </row>
        <row r="44">
          <cell r="D44" t="str">
            <v>LO#1 LFM-856-23: US GAAP for Life Insurers, 2022, Chapter 8: Long Duration Accident and Health Insurance Contracts (only sections 2.8.2, 3-5)</v>
          </cell>
        </row>
        <row r="45">
          <cell r="D45" t="str">
            <v>LO#1 Targeted Improvements Interactive Model</v>
          </cell>
        </row>
        <row r="46">
          <cell r="D46" t="str">
            <v>LO#2 Bridging the GAAP: IFRS 17 and LDTI Differences Explored, Financial Reporter, July 2022</v>
          </cell>
        </row>
        <row r="47">
          <cell r="D47" t="str">
            <v>LO#2 LFM-144-20: The Modernization of Insurance Company Solvency Regulation in the US (exclude Sections 7 and 9)</v>
          </cell>
        </row>
        <row r="48">
          <cell r="D48" t="str">
            <v>LO#2 LFM-149-21: Insurance Contracts Accounting Guide, PWC, Oct 2019 (Sections 1.1, 3.5, 5.1-5.4, 5.6; Figures IG 2-1, 2-2)</v>
          </cell>
        </row>
        <row r="49">
          <cell r="D49" t="str">
            <v>LO#2 LFM-650-20: FASB in Focus - Accounting Standards Update No 2018-12:Targeted Improvements to the Accounting for Long-Duration Contracts Issued by Insurance Companies</v>
          </cell>
        </row>
        <row r="50">
          <cell r="D50" t="str">
            <v>LO#2 LFM-143-20: Fundamentals of the Principle-Based Approach to Statutory Reserves for Life Insurance, July 2019</v>
          </cell>
        </row>
        <row r="51">
          <cell r="D51" t="str">
            <v>LO#2 Impacts of AG 48, Financial Reporter, Dec 2015</v>
          </cell>
        </row>
        <row r="52">
          <cell r="D52" t="str">
            <v>LO#2 LFM-822-16: Study Note on Actuarial Guidelines AG 38 &amp; 48 (exclude pages 6 to 8)</v>
          </cell>
        </row>
        <row r="53">
          <cell r="D53" t="str">
            <v>LO#2 PBA Corner, Financial Reporter, Jun 2016</v>
          </cell>
        </row>
        <row r="54">
          <cell r="D54" t="str">
            <v>LO#2 Principle-Based Reserves Interactive Model</v>
          </cell>
        </row>
        <row r="55">
          <cell r="D55" t="str">
            <v>LO#2 Statutory Vauation of Individual Life &amp; Annuity Contracts, 5th Ed, 2018, Chapter 1 – Overview of Valuation Concepts (exclude 1.1-1.9)</v>
          </cell>
        </row>
        <row r="56">
          <cell r="D56" t="str">
            <v>LO#2 Statutory Vauation of Individual Life &amp; Annuity Contracts, 5th Ed, 2018, Chapter 10 – Valuation Assumptions (exclude 10.1.3, 10.3.8)</v>
          </cell>
        </row>
        <row r="57">
          <cell r="D57" t="str">
            <v>LO#2 Statutory Vauation of Individual Life &amp; Annuity Contracts, 5th Ed, 2018, Chapter 11 – Valuation Methodologies (exclude 11.3.9 to 11.3.11)</v>
          </cell>
        </row>
        <row r="58">
          <cell r="D58" t="str">
            <v xml:space="preserve">LO#2 Statutory Vauation of Individual Life &amp; Annuity Contracts, 5th Ed, 2018, Chapter 12 – Whole Life </v>
          </cell>
        </row>
        <row r="59">
          <cell r="D59" t="str">
            <v xml:space="preserve">LO#2 Statutory Vauation of Individual Life &amp; Annuity Contracts, 5th Ed, 2018, Chapter 13 – Term Life Insurance </v>
          </cell>
        </row>
        <row r="60">
          <cell r="D60" t="str">
            <v>LO#2 Statutory Vauation of Individual Life &amp; Annuity Contracts, 5th Ed, 2018, Chapter 14 – Universal Life (exclude 14.4.8, 14.4.9, 14.5.0, 14.6.2-14.6.6)</v>
          </cell>
        </row>
        <row r="61">
          <cell r="D61" t="str">
            <v>LO#2 Statutory Vauation of Individual Life &amp; Annuity Contracts, 5th Ed, 2018, Chapter 16 – Indexed Universal Life (exclude 16.4.2-16.4.3)</v>
          </cell>
        </row>
        <row r="62">
          <cell r="D62" t="str">
            <v>LO#2 Statutory Vauation of Individual Life &amp; Annuity Contracts, 5th Ed, 2018, Chapter 18 – Fixed Deferred  Annuities (exclude 18.7.4, 18.8)</v>
          </cell>
        </row>
        <row r="63">
          <cell r="D63" t="str">
            <v>LO#2 Statutory Vauation of Individual Life &amp; Annuity Contracts, 5th Ed, 2018, Chapter 19 – Variable Deferred Annuities</v>
          </cell>
        </row>
        <row r="64">
          <cell r="D64" t="str">
            <v>LO#2 Statutory Vauation of Individual Life &amp; Annuity Contracts, 5th Ed, 2018, Chapter 2 – Product Classifications (2.2 only)</v>
          </cell>
        </row>
        <row r="65">
          <cell r="D65" t="str">
            <v xml:space="preserve">LO#2 Statutory Vauation of Individual Life &amp; Annuity Contracts, 5th Ed, 2018, Chapter 20 – Indexed Deferred Annuities </v>
          </cell>
        </row>
        <row r="66">
          <cell r="D66" t="str">
            <v xml:space="preserve">LO#2 Statutory Vauation of Individual Life &amp; Annuity Contracts, 5th Ed, 2018, Chapter 21 – Immediate Annuities </v>
          </cell>
        </row>
        <row r="67">
          <cell r="D67" t="str">
            <v>LO#2 Statutory Vauation of Individual Life &amp; Annuity Contracts, 5th Ed, 2018, Chapter 22 – Miscellaneous Reserves (exclude 22.3 to 22.4) </v>
          </cell>
        </row>
        <row r="68">
          <cell r="D68" t="str">
            <v>LO#2 Statutory Vauation of Individual Life &amp; Annuity Contracts, 5th Ed, 2018, Chapter 23 – VM-20: PBR for Life Products (exclude 23.1)</v>
          </cell>
        </row>
        <row r="69">
          <cell r="D69" t="str">
            <v>LO#2 Statutory Vauation of Individual Life &amp; Annuity Contracts, 5th Ed, 2018, Chapter 24 - Addendum for Variable Annuity PBR Updates</v>
          </cell>
        </row>
        <row r="70">
          <cell r="D70" t="str">
            <v>LO#2 Statutory Vauation of Individual Life &amp; Annuity Contracts, 5th Ed, 2018, Chapter 25 - Principle-Based Reserve Report</v>
          </cell>
        </row>
        <row r="71">
          <cell r="D71" t="str">
            <v>LO#2 Statutory Vauation of Individual Life &amp; Annuity Contracts, 5th Ed, 2018, Chapter 3 – NAIC Annual Statement</v>
          </cell>
        </row>
        <row r="72">
          <cell r="D72" t="str">
            <v>LO#2 Statutory Vauation of Individual Life &amp; Annuity Contracts, 5th Ed, 2018, Chapter 4 – Standard Valuation Law</v>
          </cell>
        </row>
        <row r="73">
          <cell r="D73" t="str">
            <v>LO#2 Statutory Vauation of Individual Life &amp; Annuity Contracts, 5th Ed, 2018, Chapter 5 – The Valuation Manual</v>
          </cell>
        </row>
        <row r="74">
          <cell r="D74" t="str">
            <v>LO#3 Canadian Insurance Taxation, 4th Ed, 2015, Chapter 3-6, 9, 10, 11 &amp; 24</v>
          </cell>
        </row>
        <row r="75">
          <cell r="D75" t="str">
            <v>LO#3 CIA Educational Note: Future Income and Alternative Taxes, Dec 2012 (excluding Apeendix D)</v>
          </cell>
        </row>
        <row r="76">
          <cell r="D76" t="str">
            <v xml:space="preserve">LO#3 LFM-845-20: Chapters 1 and 2 of Life Insurance and Modified Endowments Under IRC §7702 and §7702A, Desrochers, 2nd Edition </v>
          </cell>
        </row>
        <row r="77">
          <cell r="D77" t="str">
            <v>LO#3 LFM-846-20: Company Tax – Introductory Study Note</v>
          </cell>
        </row>
        <row r="78">
          <cell r="D78" t="str">
            <v>LO#3 LFM-850-22: Changes to Section 7702 (IRC) and Nonforfeiture Interet Rates</v>
          </cell>
        </row>
        <row r="79">
          <cell r="D79" t="str">
            <v>LO#3 The Tax Cuts and Jobs Act of 2017— Effects on Life Insurers, American Academy of Actuaries, Oct 2020</v>
          </cell>
        </row>
        <row r="80">
          <cell r="D80" t="str">
            <v xml:space="preserve">LO#4 LFM-151-22: IAIS—International Capital Standard, ComFrame, Holistic Framework for Systemic Risk in the Insurance Sector, Sullivan &amp; Cromwell LLP, Dec 2019
Only pages 1-3, 8-28  </v>
          </cell>
        </row>
        <row r="81">
          <cell r="D81" t="str">
            <v>LO#4 LFM-636-20: OSFI Guideline A-4 Internal Target Capital Ratio for Insurance Companies, December 2017</v>
          </cell>
        </row>
        <row r="82">
          <cell r="D82" t="str">
            <v>LO#4 LFM-641-19: OSFI: Own Risk and Solvency Assessment (E-19), December 2017</v>
          </cell>
        </row>
        <row r="83">
          <cell r="D83" t="str">
            <v>LO#4 LFM-645-23: OSFI Guideline – Life Insurance Capital Adequacy Test (LICAT), July 2022, Ch. 1-11 (excluding Sections 4.2-4.4 &amp; 7.3-7.10)</v>
          </cell>
        </row>
        <row r="84">
          <cell r="D84" t="str">
            <v xml:space="preserve">LO#4 A Multi-Stakeholder Approach to Capital Adequacy, Conning Research </v>
          </cell>
        </row>
        <row r="85">
          <cell r="D85" t="str">
            <v>LO#4 Economic Capital for life Insurance Companies, SOA Research paper, Oct 2016 (exclude sections 5 and 7)</v>
          </cell>
        </row>
        <row r="86">
          <cell r="D86" t="str">
            <v>LO#4 LFM-148-20: The Theory of Risk Capital in Financial Firms</v>
          </cell>
        </row>
        <row r="87">
          <cell r="D87" t="str">
            <v>LO#4 ASOP 55 – Capital Adequacy Assessment, Section 3 and Appendix 1</v>
          </cell>
        </row>
        <row r="88">
          <cell r="D88" t="str">
            <v>LO#4 LFM-136-16: Chapter 11 of Life Insurance Products and Finance, Atkinson &amp; Dallas, pp. 499-502</v>
          </cell>
        </row>
        <row r="89">
          <cell r="D89" t="str">
            <v>LO#4 LFM-813-13: U.S. Insurance Regulation Solvency Framework and Current Topics</v>
          </cell>
        </row>
        <row r="90">
          <cell r="D90" t="str">
            <v xml:space="preserve">LO#4 LFM-852-22: Group Capital Calculation: Public Summary, National Association of Insurance Commissioners,  Dec 2020  </v>
          </cell>
        </row>
        <row r="91">
          <cell r="D91" t="str">
            <v>LO#4 LFM-853-22: Group Capital Calculation: Pictorial, National Association of Insurance Commissioners, Dec 2020</v>
          </cell>
        </row>
        <row r="92">
          <cell r="D92" t="str">
            <v>LO#4 LFM-854-22: NAIC Own Risk and Solvency Assessment (ORSA) Guidance Manual, National Association of Insurance Commissioners, Dec 2017</v>
          </cell>
        </row>
        <row r="93">
          <cell r="D93" t="str">
            <v>LO#4 Statutory Vauation of Individual Life &amp; Annuity Contracts, 5th Ed, 2018, Chapter 29 – Risk-Based Capital</v>
          </cell>
        </row>
        <row r="94">
          <cell r="D94" t="str">
            <v>LO#5 CIA: Sources of Earning: Determination and Disclosure, Aug 2004</v>
          </cell>
        </row>
        <row r="95">
          <cell r="D95" t="str">
            <v>LO#5 LFM-601-13: OSFI Guideline D-9: Sources of Earnings Disclosure (Life Insurance Companies)</v>
          </cell>
        </row>
        <row r="96">
          <cell r="D96" t="str">
            <v xml:space="preserve">LO#5 Embedded Value: Practice and Theory, SOA, Actuarial Practice Forum, March 2009 </v>
          </cell>
        </row>
        <row r="97">
          <cell r="D97" t="str">
            <v xml:space="preserve">LO#5 LFM-106-07: Insurance Industry Mergers and Acquisitions, Chapter 4 (Sections 4.1-4.6) </v>
          </cell>
        </row>
        <row r="98">
          <cell r="D98" t="str">
            <v xml:space="preserve">LO#5 LFM-138-16: Prudential Financial - Stockholder's Equity and Operating Leverage, HBR, 2008  </v>
          </cell>
        </row>
        <row r="99">
          <cell r="D99" t="str">
            <v>LO#5 LFM-152-22: Introduction to Source of Earnings Analysis (excluding Appendices)</v>
          </cell>
        </row>
        <row r="100">
          <cell r="D100" t="str">
            <v>LO#5 Statutory Vauation of Individual Life &amp; Annuity Contracts, 5th Ed, 2018, Chapter 19 – Variable Deferred Annuities, Section 19.4</v>
          </cell>
        </row>
        <row r="101">
          <cell r="D101" t="str">
            <v>LO#6 Bridging the GAAP: IFRS 17 and LDTI Differences Explored, Financial Reporter, July 2022</v>
          </cell>
        </row>
        <row r="102">
          <cell r="D102" t="str">
            <v>LO#6 LFM-141-18: IFRS 17 Insurance Contracts – IFRS Standards Effects Analysis, May 2017, IASB (sections 1, 2, 4 &amp; 6.1-2 only) - Reduced Page count as per US Exam?</v>
          </cell>
        </row>
        <row r="103">
          <cell r="D103" t="str">
            <v>LO#6 LFM-144-20: The Modernization of Insurance Company Solvency Regulation in the US (exclude Sections 7 and 9)</v>
          </cell>
        </row>
        <row r="104">
          <cell r="D104" t="str">
            <v xml:space="preserve">LO#6 LFM-151-22: IAIS—International Capital Standard, ComFrame, Holistic Framework for Systemic Risk in the Insurance Sector, Sullivan &amp; Cromwell LLP, Dec 2019, Pages 1-3, 8-28 </v>
          </cell>
        </row>
        <row r="105">
          <cell r="D105" t="str">
            <v>LO#6 LFM-847-20: Life Insurance Regulatory Framework, OSFI, 2012</v>
          </cell>
        </row>
        <row r="106">
          <cell r="D106" t="str">
            <v>LO#6 LFM-851-23: OSFI Guideline – Life Insurance Capital Adequacy Test (LICAT), July 2022, Only Ch. 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
      <sheetName val="ILA 201-I Questions &amp; Solutions"/>
      <sheetName val="F20 Q1(d) Question"/>
      <sheetName val="F20 Q2 Question"/>
      <sheetName val="F20 Q4(b) Question"/>
      <sheetName val="F20 Q6 Question"/>
      <sheetName val="F20 Q10 Question"/>
      <sheetName val="S21 Q1(c) Question"/>
      <sheetName val="S21 Q4(b) Question"/>
      <sheetName val="S21 Q5(d) Question"/>
      <sheetName val="S21 Q6(a) Question"/>
      <sheetName val="S21 Q7(b) Question"/>
      <sheetName val="S21 Q8(c) Question"/>
      <sheetName val="S21 Q9(a) Question"/>
      <sheetName val="S21 Q10(c) Question"/>
      <sheetName val="F21 Q2(a)(b) Question"/>
      <sheetName val="F21 Q2 Solution"/>
      <sheetName val="F21 Q4(a)(ii)(c) Question"/>
      <sheetName val="F21 Q5 Question"/>
      <sheetName val="F21 Q10(b)(ii)(e) Question"/>
      <sheetName val="S22 Q2(d) Question"/>
      <sheetName val="S22 Q6(d)(ii) Question"/>
      <sheetName val="S22 Q7(b) Question"/>
      <sheetName val="S22 Q9(b)(ii)(iii) Question"/>
      <sheetName val="F22 Q1(a)(c) Question"/>
      <sheetName val="F22 Q3(b) Question"/>
      <sheetName val="F22 Q5(c) Question"/>
      <sheetName val="F22 Q7(b) Question"/>
      <sheetName val="F22 Q9(c) Question"/>
      <sheetName val="F22 Q9(c) Solution"/>
      <sheetName val="F22 Q11(a) Question"/>
      <sheetName val="S23 Q2(c) i_ii Question"/>
      <sheetName val="S23 Q3(c) i_ii Question"/>
      <sheetName val="S23 Q4(c) i_ii Question"/>
      <sheetName val="S23 Q4(c) i_ii Solution"/>
      <sheetName val="S23 Q5(b) i_ii Question"/>
      <sheetName val="S23 Q6(b) Question"/>
      <sheetName val="S23 Q7(c) Question"/>
      <sheetName val="S23 Q8(a) i_ii Question"/>
      <sheetName val="S23 Q9(c) Question"/>
      <sheetName val="F23 Q1(b) i_ii Question"/>
      <sheetName val="F23 Q3(b),(c),(d) Question"/>
      <sheetName val="F23 Q4(c),(d)ii_iii Question"/>
      <sheetName val="F23 Q6(c) Question"/>
      <sheetName val="F23 Q6(c) Solution"/>
      <sheetName val="F23 Q7(b),(d) Question"/>
      <sheetName val="F23 Q8(b) Question"/>
      <sheetName val="S24 1a Question"/>
      <sheetName val="S24 1b Question"/>
      <sheetName val="S24 1b Solution"/>
      <sheetName val="S24 2b i_ii Question"/>
      <sheetName val="S24 3b i Question"/>
      <sheetName val="S24 3b i Solution"/>
      <sheetName val="S24 4b Question"/>
      <sheetName val="S24 5b Question"/>
      <sheetName val="S24 6a Question"/>
      <sheetName val="S24 6b i_ii Question"/>
      <sheetName val="S24 6b i_ii Solution"/>
      <sheetName val="S24 7b i Question"/>
      <sheetName val="S24 9c Question"/>
      <sheetName val="F24 Q1 Question"/>
      <sheetName val="F24 Q5 Question"/>
      <sheetName val="F24 Q6 Question"/>
      <sheetName val="F24 Q7 Question"/>
      <sheetName val="F24 Q8 Question"/>
      <sheetName val="F24 Q9 Ques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guage"/>
      <sheetName val="Disclaimer"/>
      <sheetName val="Input"/>
      <sheetName val="VTP2 Original"/>
      <sheetName val="VTP2 Revised"/>
      <sheetName val="DM1"/>
      <sheetName val="DM2"/>
      <sheetName val="BK"/>
      <sheetName val="CIA 9704 MN N"/>
      <sheetName val="Translation"/>
    </sheetNames>
    <sheetDataSet>
      <sheetData sheetId="0"/>
      <sheetData sheetId="1"/>
      <sheetData sheetId="2">
        <row r="1">
          <cell r="B1">
            <v>40</v>
          </cell>
        </row>
        <row r="2">
          <cell r="B2">
            <v>10</v>
          </cell>
        </row>
        <row r="4">
          <cell r="G4">
            <v>1</v>
          </cell>
          <cell r="H4">
            <v>1</v>
          </cell>
          <cell r="I4">
            <v>0.67408006747667426</v>
          </cell>
        </row>
        <row r="5">
          <cell r="G5">
            <v>2</v>
          </cell>
          <cell r="H5">
            <v>1</v>
          </cell>
          <cell r="I5">
            <v>0.67408006747667426</v>
          </cell>
        </row>
        <row r="6">
          <cell r="G6">
            <v>3</v>
          </cell>
          <cell r="H6">
            <v>1</v>
          </cell>
          <cell r="I6">
            <v>0.67408006747667426</v>
          </cell>
        </row>
        <row r="7">
          <cell r="G7">
            <v>4</v>
          </cell>
          <cell r="H7">
            <v>1</v>
          </cell>
          <cell r="I7">
            <v>0.67408006747667426</v>
          </cell>
        </row>
        <row r="8">
          <cell r="G8">
            <v>5</v>
          </cell>
          <cell r="H8">
            <v>1</v>
          </cell>
          <cell r="I8">
            <v>0.67408006747667426</v>
          </cell>
        </row>
        <row r="9">
          <cell r="G9">
            <v>6</v>
          </cell>
          <cell r="H9">
            <v>1</v>
          </cell>
          <cell r="I9">
            <v>0.67213629380588347</v>
          </cell>
        </row>
        <row r="10">
          <cell r="E10">
            <v>0.24000000000000002</v>
          </cell>
          <cell r="G10">
            <v>7</v>
          </cell>
          <cell r="H10">
            <v>1</v>
          </cell>
          <cell r="I10">
            <v>0.67213629380588347</v>
          </cell>
        </row>
        <row r="11">
          <cell r="E11">
            <v>0.55999999999999994</v>
          </cell>
          <cell r="G11">
            <v>8</v>
          </cell>
          <cell r="H11">
            <v>1</v>
          </cell>
          <cell r="I11">
            <v>0.67213629380588347</v>
          </cell>
        </row>
        <row r="12">
          <cell r="G12">
            <v>9</v>
          </cell>
          <cell r="H12">
            <v>1</v>
          </cell>
          <cell r="I12">
            <v>0.67213629380588347</v>
          </cell>
        </row>
        <row r="13">
          <cell r="G13">
            <v>10</v>
          </cell>
          <cell r="H13">
            <v>1</v>
          </cell>
          <cell r="I13">
            <v>0.67213629380588347</v>
          </cell>
        </row>
        <row r="14">
          <cell r="G14">
            <v>11</v>
          </cell>
          <cell r="H14">
            <v>1</v>
          </cell>
          <cell r="I14">
            <v>0.71880625904961837</v>
          </cell>
        </row>
        <row r="15">
          <cell r="G15">
            <v>12</v>
          </cell>
          <cell r="H15">
            <v>1</v>
          </cell>
          <cell r="I15">
            <v>0.71880625904961837</v>
          </cell>
        </row>
        <row r="16">
          <cell r="G16">
            <v>13</v>
          </cell>
          <cell r="H16">
            <v>1</v>
          </cell>
          <cell r="I16">
            <v>0.71880625904961837</v>
          </cell>
        </row>
        <row r="17">
          <cell r="G17">
            <v>14</v>
          </cell>
          <cell r="H17">
            <v>1</v>
          </cell>
          <cell r="I17">
            <v>0.71880625904961837</v>
          </cell>
        </row>
        <row r="18">
          <cell r="G18">
            <v>15</v>
          </cell>
          <cell r="H18">
            <v>1</v>
          </cell>
          <cell r="I18">
            <v>0.71880625904961837</v>
          </cell>
        </row>
        <row r="19">
          <cell r="G19">
            <v>16</v>
          </cell>
          <cell r="H19">
            <v>1</v>
          </cell>
          <cell r="I19">
            <v>0.78</v>
          </cell>
        </row>
        <row r="20">
          <cell r="B20">
            <v>0.3</v>
          </cell>
        </row>
        <row r="21">
          <cell r="B21">
            <v>5</v>
          </cell>
        </row>
      </sheetData>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Z-1-2013 (MH)"/>
      <sheetName val="syllabus list"/>
      <sheetName val="SZ-1-2013"/>
      <sheetName val="instructions"/>
    </sheetNames>
    <sheetDataSet>
      <sheetData sheetId="0" refreshError="1">
        <row r="9">
          <cell r="B9" t="str">
            <v>CAN-1</v>
          </cell>
        </row>
      </sheetData>
      <sheetData sheetId="1">
        <row r="128">
          <cell r="C128" t="str">
            <v>Retrieval</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yllabus list"/>
      <sheetName val="Qxt"/>
      <sheetName val="CRVMDEF"/>
      <sheetName val="2017 Composite Ultimate Mort"/>
    </sheetNames>
    <sheetDataSet>
      <sheetData sheetId="0" refreshError="1"/>
      <sheetData sheetId="1">
        <row r="4">
          <cell r="D4" t="str">
            <v>LO#1 CIA Report: Lapse Experience Study for 10-year Term Insurance, Jan 2014, pp. 6 -32</v>
          </cell>
        </row>
        <row r="5">
          <cell r="D5" t="str">
            <v>LO#1 CIA Research Paper: Lapse Experience under UL Level COI Policies, Sep 2015, pp. 4 - 8</v>
          </cell>
        </row>
        <row r="6">
          <cell r="D6" t="str">
            <v>LO#1 CIA Educational note, Currency Risk in the Valuation of Policy Liabilities for Life and Health Insurers, December 2009</v>
          </cell>
        </row>
        <row r="7">
          <cell r="D7" t="str">
            <v>LO#1 CIA Educational Note, Development of the Equilibrium Risk-Free Market Curve for the Base Scenario, December 2015</v>
          </cell>
        </row>
        <row r="8">
          <cell r="D8" t="str">
            <v xml:space="preserve">LO#1 CIA Educational Note: Approximations to the Canadian Asset Liability Method (CALM): November 2006 </v>
          </cell>
        </row>
        <row r="9">
          <cell r="D9" t="str">
            <v xml:space="preserve">LO#1 CIA Educational Note: Best Estimates Assumptions for Expenses – November 2006 </v>
          </cell>
        </row>
        <row r="10">
          <cell r="D10" t="str">
            <v>LO#1 CIA Educational Note: CALM Implications of AcSB Section 3855 Financial Instruments - Recognition and Measurement (June 2006)</v>
          </cell>
        </row>
        <row r="11">
          <cell r="D11" t="str">
            <v>LO#1 CIA Educational Note: Dividend Determination for Participating Policies, Jan 2014</v>
          </cell>
        </row>
        <row r="12">
          <cell r="D12" t="str">
            <v>LO#1 CIA Educational Note: Expected Mortality: Fully Underwritten Canadian Individual Life Insurance Policies: July 2002 (exclude appendices)</v>
          </cell>
        </row>
        <row r="13">
          <cell r="D13" t="str">
            <v>LO#1 CIA Educational Note: Guidance on Fairness Opinions Required Under the Insurance Companies Act Pursuant to Bill C-57 (2005) Dec 2011</v>
          </cell>
        </row>
        <row r="14">
          <cell r="D14" t="str">
            <v>LO#1 CIA Educational Note: Investment Assumptions Used in the Valuation of Life and Health Insurance Contract Liabilities Sep.2015</v>
          </cell>
        </row>
        <row r="15">
          <cell r="D15" t="str">
            <v>LO#1 CIA Educational Note: Margins for Adverse Deviations (Mfad) – November 2006</v>
          </cell>
        </row>
        <row r="16">
          <cell r="D16" t="str">
            <v xml:space="preserve">LO#1 CIA Educational Note: Reflection of Hedging in Segregated Fund Valuation – May 2012 </v>
          </cell>
        </row>
        <row r="17">
          <cell r="D17" t="str">
            <v>LO#1 CIA Educational Note: Selective Lapsation for Renewable Term Insurance Products, February 2017</v>
          </cell>
        </row>
        <row r="18">
          <cell r="D18" t="str">
            <v xml:space="preserve">LO#1 CIA Educational Note: Valuation of Gross Policy Liabilities and Reinsurance Recoverables (December 2010) </v>
          </cell>
        </row>
        <row r="19">
          <cell r="D19" t="str">
            <v>LO#1 CIA Educational Note: Valuation of Universal Life Policy Liabilities - February 2012</v>
          </cell>
        </row>
        <row r="20">
          <cell r="D20" t="str">
            <v>LO#1 CIA Final Communication of a Promulgation of Prescribed Mortality Improvement Rates (July 2017)</v>
          </cell>
        </row>
        <row r="21">
          <cell r="D21" t="str">
            <v>LO#1 CIA Draft Report: Task Force on Mortality Improvement, April 2017</v>
          </cell>
        </row>
        <row r="22">
          <cell r="D22" t="str">
            <v>LO#1 CIA Research Paper: Calibration of Fixed-Income Returns Segregated Fund Liability April 2014</v>
          </cell>
        </row>
        <row r="23">
          <cell r="D23" t="str">
            <v xml:space="preserve">LO#1 CIA Use of Actuarial Judgment in Setting Assumptions and Margins for Adverse Deviations, November 2006 </v>
          </cell>
        </row>
        <row r="24">
          <cell r="D24" t="str">
            <v xml:space="preserve">LO#1 CIA Educational Note: Valuation of Segregated Fund Investment Guarantees (October 2005) </v>
          </cell>
        </row>
        <row r="25">
          <cell r="D25" t="str">
            <v>LO#1 CIA Education Note: Investment Returns for non-fixed-income returns for Assets, March 2011</v>
          </cell>
        </row>
        <row r="26">
          <cell r="D26" t="str">
            <v>LO#1 Final Communication of Promulgations of the Maximum Net Credit Spread, Ultimate Reinvestment Rates and Calibration Criteria for Stochastic Risk-Free Interest Rates in the Standards of Practice, May 2014 - Section 2 Only</v>
          </cell>
        </row>
        <row r="27">
          <cell r="D27" t="str">
            <v>LO#1 Final Communication of Updated Promulgations of the Ultimate Reinvestment Rates and Calibration Criteria for Stochastic Risk-Free Interest Rates in the Standards of Practice, July 2019</v>
          </cell>
        </row>
        <row r="28">
          <cell r="D28" t="str">
            <v>LO#1 LFM-618-13 OSFI Guideline D-10: Accounting for Financial Instruments Designated as Fair Value Option</v>
          </cell>
        </row>
        <row r="29">
          <cell r="D29" t="str">
            <v>LO#1 LFM-620-14 OSFI Guideline E15: Appointed Actuary -  Legal Requirements, Qualification and External Review (Sep 2012)</v>
          </cell>
        </row>
        <row r="30">
          <cell r="D30" t="str">
            <v>LO#1 LFM-632-12 OSFI B-3 Sound Reinsurance Practices and Procedures</v>
          </cell>
        </row>
        <row r="31">
          <cell r="D31" t="str">
            <v>LO#1 LFM-634-19 CIA Standards of Practice: Insurance  Sections 2100, 2300, 2400, 2500 &amp; 2700,  Dec 2019</v>
          </cell>
        </row>
        <row r="32">
          <cell r="D32" t="str">
            <v>LO#1 LFM-635-13 Participating Account Management and Disclosure to Participating Policyholders and Adjustable Policyholders</v>
          </cell>
        </row>
        <row r="33">
          <cell r="D33" t="str">
            <v>LO#1 LFM-637-13 OSFI Letter evidence for Mean Reversion in Equity Prices</v>
          </cell>
        </row>
        <row r="34">
          <cell r="D34" t="str">
            <v>LO#1 LFM-652-20 Canadian Life and Health Insurance Guidelines (CLHIA) - Guideline G-6 - Illustrations</v>
          </cell>
        </row>
        <row r="35">
          <cell r="D35" t="str">
            <v>LO#1 CIA Report: Report of the Task Force on Segregated Fund Liability and Capital Methodologies (Aug 2010)</v>
          </cell>
        </row>
        <row r="36">
          <cell r="D36" t="str">
            <v>LO#1 CIA Educational Note: Considerations in the Valuation of Segregated Fund Products, Nov 2007</v>
          </cell>
        </row>
        <row r="37">
          <cell r="D37" t="str">
            <v>LO#1 LFMU GAAP Materials Flowchart</v>
          </cell>
        </row>
        <row r="38">
          <cell r="D38" t="str">
            <v>LO#1    Chapter  3:    US GAAP - Expenses and Capitalization (exclude 3.7.1, 3.7.3, 3.11.4.5, and 3.12)</v>
          </cell>
        </row>
        <row r="39">
          <cell r="D39" t="str">
            <v>LO#1    Chapter  4:    US GAAP - Traditional Life Insurance (SFAS 60 &amp; 97) (exclude 4.4 to 4.14)</v>
          </cell>
        </row>
        <row r="40">
          <cell r="D40" t="str">
            <v>LO#1    Chapter  6:    US GAAP - Universal Life Insurance (exclude 6.7 to 6.7.1.6, 6.7.3 to 6.7.6.3, 6.10 to 6.13.2)</v>
          </cell>
        </row>
        <row r="41">
          <cell r="D41" t="str">
            <v>LO#1    Chapter  7:    US GAAP - Deferred Annuities (exclude 7.4.1d, 7.6, 7.8, 7.10, 7.11, 7.13)</v>
          </cell>
        </row>
        <row r="42">
          <cell r="D42" t="str">
            <v>LO#1    Chapter  9:    US GAAP - Annuities in Payment Status (exclude section 9.5)</v>
          </cell>
        </row>
        <row r="43">
          <cell r="D43" t="str">
            <v>LO#1    Chapter 13:   US GAAP - Investment Accounting (exclude 13.7 and 13.12))</v>
          </cell>
        </row>
        <row r="44">
          <cell r="D44" t="str">
            <v>LO#1    Chapter 15:   US GAAP - Accounting for Business Combinations (exclude 15.7.3 to 15.7.8, and 15.10.5 to 15.15)</v>
          </cell>
        </row>
        <row r="45">
          <cell r="D45" t="str">
            <v>LO#1    Chapter 18:   US GAAP - Other Topics: Deferred Taxes and Fair Value Reporting (exclude 18.2, 18.4, and 18.6)</v>
          </cell>
        </row>
        <row r="46">
          <cell r="D46" t="str">
            <v>LO#1 LFM-XXX-21: A Comprehensive Guide – Reinsurance, E&amp;Y, 2020, (Sections 1, 2, 4, 7, Appendix D)</v>
          </cell>
        </row>
        <row r="47">
          <cell r="D47" t="str">
            <v>LO#1 LFM-149-21: Insurance Contracts, PwC (Accounting Guide for Insurance Contracts), 2020, Sections 1.1 -1.3 (pp 1.2-1.9), 2.1-2.5 (pp 2.2-2.21) 3.1-3.9 (pp 3.2-3.48), 5.1-5.10 (pp 5.2-5.56), and Figures IG 2-1 (pp 2.4-2.6) &amp; IG 2-2 (pp 2.15-2.18)</v>
          </cell>
        </row>
        <row r="48">
          <cell r="D48" t="str">
            <v>LO#1 Implementation Considerations For VA Market Risk Benefits, Financial Reporter, Sep 2019 </v>
          </cell>
        </row>
        <row r="49">
          <cell r="D49" t="str">
            <v>LO#1 LFM-840-20 A Comprehensive Guide - Derivatives and Hedging, E&amp;Y, 2019, (Sections 1.1-1.7, 3.1-3.3, 4.1-4.3, 9.1-9.5, Appendices A and C1.1-4)</v>
          </cell>
        </row>
        <row r="50">
          <cell r="D50" t="str">
            <v>LO#1 LFM-841-20 A Closer Look at How Insurers Will Have to Change their Accounting and Disclosures for Long-Duration Contracts, E&amp;Y, Nov 2018</v>
          </cell>
        </row>
        <row r="51">
          <cell r="D51" t="str">
            <v>LO#1 Targeted Improvements Interactive Model</v>
          </cell>
        </row>
        <row r="52">
          <cell r="D52" t="str">
            <v>LO#2 CIA Educational Note: Comparison of IFRS 17 to Current CIA Standard of Practice, Sept 2018</v>
          </cell>
        </row>
        <row r="53">
          <cell r="D53" t="str">
            <v>LO#2 CIA Educational Note: IFRS 17 Estimates of Future Cash Flows for Life and Health Insurance Contracts, Sep 2019</v>
          </cell>
        </row>
        <row r="54">
          <cell r="D54" t="str">
            <v>LO#2 CIA Educational Note: IFRS 17 Risk Adjustment for Non-Financial Risk for Life and Health Insurance Contracts, Jul 2019</v>
          </cell>
        </row>
        <row r="55">
          <cell r="D55" t="str">
            <v>LO#2 CIA Educational Note: Transition from CALM to IFRS 17 Valuation of Canadian Participating Insurance Contracts, Mar 2019</v>
          </cell>
        </row>
        <row r="56">
          <cell r="D56" t="str">
            <v>LO#2 CIA Educational Note: IFRS 17 Discount Rates for Life and Health Insurance Contracts, Jun 2020</v>
          </cell>
        </row>
        <row r="57">
          <cell r="D57" t="str">
            <v>LO#2 CIA Educational Note: IFRS 17 Coverage Units for Life and Health Insurance Contracts, Dec 2019</v>
          </cell>
        </row>
        <row r="58">
          <cell r="D58" t="str">
            <v>LO#2 CIA Educational Note: IFRS 17 Market Consistent Valuation of Financial Guarantees for Life and Health Insurance Contracts, May 2020</v>
          </cell>
        </row>
        <row r="59">
          <cell r="D59" t="str">
            <v>LO#2 CIA Educational Note: IFRS 17 Measurement and Presentation of Canadian Participating Insurance Contracts, Apr 2021</v>
          </cell>
        </row>
        <row r="60">
          <cell r="D60" t="str">
            <v>LO#2 IFRS 17 Insurance Contracts Example (Spreadsheet Model)</v>
          </cell>
        </row>
        <row r="61">
          <cell r="D61" t="str">
            <v>LO#2 LFM-141-18 IFRS 17 Insurance Contracts – IFRS Standards Effects Analysis, May 2017, IASB (sections 1, 2, 4 &amp; 6.1-2 only)</v>
          </cell>
        </row>
        <row r="62">
          <cell r="D62" t="str">
            <v>LO#2 LFM-655-21: IFRS Standards Exposure Draft Amendments to IFRS 17, Jun 2019</v>
          </cell>
        </row>
        <row r="63">
          <cell r="D63" t="str">
            <v>LO#2 LFM-656-21: PwC In transition: The latest on IFRS 17 implementation, Feb 2020</v>
          </cell>
        </row>
        <row r="64">
          <cell r="D64" t="str">
            <v>LO#2  LFM-649-20: International Actuarial Note 100: Application of IFRS 17 (excluding section C chapter 11 and section D )</v>
          </cell>
        </row>
        <row r="65">
          <cell r="D65" t="str">
            <v>LO#2 LFM-XXX-21: The IFRS 17 Contractual Service Margin: A Life Insurance Perspective (Sections 1-4.7 &amp; 5)</v>
          </cell>
        </row>
        <row r="66">
          <cell r="D66" t="str">
            <v>LO#2 LFMU PBR Materials Flowchart, 2020</v>
          </cell>
        </row>
        <row r="67">
          <cell r="D67" t="str">
            <v>LO#2 ASOP 52 - Principle-Based Reserves for Life Products under the NAIC Valuation Manual on PBR for Life Products, Section 3</v>
          </cell>
        </row>
        <row r="68">
          <cell r="D68" t="str">
            <v>LO#2 Impacts of AG 48, Financial Reporter, Dec 2015</v>
          </cell>
        </row>
        <row r="69">
          <cell r="D69" t="str">
            <v>LO#2 LFM-143-20 Fundamentals of the Principle Based Approach to Statutory Reserves for Life Insurance, Jul 2019</v>
          </cell>
        </row>
        <row r="70">
          <cell r="D70" t="str">
            <v>LO#2 LFM-800-07 Chapters 8 (pp. 12-16) and 12 (pp.1-15 &amp; 32-33) of IASA Life and Accident and Health Insurance Accounting (excluding Dividends Received Deduction and Operations Loss Deduction subsections under the General Deductions section, the Special D</v>
          </cell>
        </row>
        <row r="71">
          <cell r="D71" t="str">
            <v>LO#2 What's in the "A" of AG 49-A, Financial Reporter, Feb. 2021</v>
          </cell>
        </row>
        <row r="72">
          <cell r="D72" t="str">
            <v>LO#2 LFM-822-16 Study Note on Actuarial Guidelines AG 38 &amp; 48 (exclude pages 6 to 8)</v>
          </cell>
        </row>
        <row r="73">
          <cell r="D73" t="str">
            <v>LO#2 LFM-832-17 AG49 - A Closer Look, LifeTrends, Pfeifer</v>
          </cell>
        </row>
        <row r="74">
          <cell r="D74" t="str">
            <v xml:space="preserve">LO#2 LFM-836-17 AG 49 Post Standards Update </v>
          </cell>
        </row>
        <row r="75">
          <cell r="D75" t="str">
            <v>LO#2 LFM-XXX-21: Implementation of Requirements for Principle-Based Reserves for Variable Annuities – 2021 Edition of VM-21 (required questions are listed on the first page of this study note)</v>
          </cell>
        </row>
        <row r="76">
          <cell r="D76" t="str">
            <v>LO#2 LFM-843-20 NAIC Life Insurance Illustrations Model Regulation</v>
          </cell>
        </row>
        <row r="77">
          <cell r="D77" t="str">
            <v>LO#2  LFM-844-21: Life Principle-Based Reserves Under VM-20, AAA Practice Note (required questions are listed on the first page of this study note)</v>
          </cell>
        </row>
        <row r="78">
          <cell r="D78" t="str">
            <v>LO#2 Lombardi,  Chapter 1 – Overview of Valuation Concepts (exclude 1.1-9)</v>
          </cell>
        </row>
        <row r="79">
          <cell r="D79" t="str">
            <v>LO#2 Lombardi,  Chapter 10 – Valuation Assumptions (exclude 10.1.3, 10.3.8)</v>
          </cell>
        </row>
        <row r="80">
          <cell r="D80" t="str">
            <v>LO#2 Lombardi,  Chapter 11 – Valuation Methodologies (exclude 11.3.9 to 11.3.11)</v>
          </cell>
        </row>
        <row r="81">
          <cell r="D81" t="str">
            <v xml:space="preserve">LO#2 Lombardi,  Chapter 12 – Whole Life </v>
          </cell>
        </row>
        <row r="82">
          <cell r="D82" t="str">
            <v xml:space="preserve">LO#2 Lombardi,  Chapter 13 – Term Life Insurance </v>
          </cell>
        </row>
        <row r="83">
          <cell r="D83" t="str">
            <v>LO#2 Lombardi,  Chapter 14 – Universal Life (exclude 14.4.8, 14.4.9, 14.5.0, 14.6.2-14.6.6)</v>
          </cell>
        </row>
        <row r="84">
          <cell r="D84" t="str">
            <v>LO#2 Lombardi,  Chapter 16 – Indexed Universal Life (exclude 16.4.2-3)</v>
          </cell>
        </row>
        <row r="85">
          <cell r="D85" t="str">
            <v>LO#2 Lombardi,  Chapter 18 – Fixed Deferred  Annuities (exclude 18.7.4, 18.8)</v>
          </cell>
        </row>
        <row r="86">
          <cell r="D86" t="str">
            <v>LO#2 Lombardi,  Chapter 19 – Variable Deferred Annuities</v>
          </cell>
        </row>
        <row r="87">
          <cell r="D87" t="str">
            <v>LO#2 Lombardi,  Chapter 2 – Product Classifications (2.2 only)</v>
          </cell>
        </row>
        <row r="88">
          <cell r="D88" t="str">
            <v xml:space="preserve">LO#2 Lombardi,  Chapter 20 -- Indexed Deferred Annuities </v>
          </cell>
        </row>
        <row r="89">
          <cell r="D89" t="str">
            <v xml:space="preserve">LO#2 Lombardi,  Chapter 21 – Immediate Annuities </v>
          </cell>
        </row>
        <row r="90">
          <cell r="D90" t="str">
            <v>LO#2 Lombardi,  Chapter 22 – Miscellaneous Reserves (exclude 22.3 to 22.4) </v>
          </cell>
        </row>
        <row r="91">
          <cell r="D91" t="str">
            <v>LO#2 Lombardi,  Chapter 23 – PBR for Life Products (exclude 23.1)</v>
          </cell>
        </row>
        <row r="92">
          <cell r="D92" t="str">
            <v>LO#2 Lombardi, Chapter 24 Addendum for Variable Annuity PBR Updates</v>
          </cell>
        </row>
        <row r="93">
          <cell r="D93" t="str">
            <v>LO#2 Lombardi,  Chapter 3 – NAIC Annual Statement</v>
          </cell>
        </row>
        <row r="94">
          <cell r="D94" t="str">
            <v>LO#2 Lombardi,  Chapter 4 – Standard Valuation Law</v>
          </cell>
        </row>
        <row r="95">
          <cell r="D95" t="str">
            <v>LO#2 Lombardi,  Chapter 5 – The Valuation Manual</v>
          </cell>
        </row>
        <row r="96">
          <cell r="D96" t="str">
            <v>LO#2 PBA Corner: Evolution of VM-20, Financial Reporter, June 2016</v>
          </cell>
        </row>
        <row r="97">
          <cell r="D97" t="str">
            <v>LO#2 Principle-Based Reserves Interactive Model</v>
          </cell>
        </row>
        <row r="98">
          <cell r="D98" t="str">
            <v>LO#2 Reporting and Disclosure Requirements Under  VM-31 Reporting Requirements for Business Subject to PB, Financial Reporter, Sep 2017</v>
          </cell>
        </row>
        <row r="99">
          <cell r="D99" t="str">
            <v xml:space="preserve">LO#3 Canadian Insurance Taxation, 4th Ed: Chapter 10, The Taxation of Life Insurance Policies </v>
          </cell>
        </row>
        <row r="100">
          <cell r="D100" t="str">
            <v>LO#3 Canadian Insurance Taxation, 4th Ed: Chapter 11, The Taxation of Annuites</v>
          </cell>
        </row>
        <row r="101">
          <cell r="D101" t="str">
            <v>LO#3 Canadian Insurance Taxation, 4th Ed: Chapter 24, Provincial Premium Tax,</v>
          </cell>
        </row>
        <row r="102">
          <cell r="D102" t="str">
            <v>LO#3 Canadian Insurance Taxation, 4th Ed: Chapter 3, Liability for Income Tax,</v>
          </cell>
        </row>
        <row r="103">
          <cell r="D103" t="str">
            <v>LO#3 Canadian Insurance Taxation, 4th Ed: Chapter 4, Income for Tax Purposes - General Rules,</v>
          </cell>
        </row>
        <row r="104">
          <cell r="D104" t="str">
            <v>LO#3 Canadian Insurance Taxation, 4th Ed: Chapter 5, Investment Income,</v>
          </cell>
        </row>
        <row r="105">
          <cell r="D105" t="str">
            <v>LO#3 Canadian Insurance Taxation, 4th Ed: Chapter 6, Reserves,</v>
          </cell>
        </row>
        <row r="106">
          <cell r="D106" t="str">
            <v>LO#3 Canadian Insurance Taxation, 4th Ed: Chapter 9, IIT</v>
          </cell>
        </row>
        <row r="107">
          <cell r="D107" t="str">
            <v>LO#3 CIA Educational Note: Future Income and Alternative Taxes excluding Appendix D (Dec. 2012)</v>
          </cell>
        </row>
        <row r="108">
          <cell r="D108" t="str">
            <v xml:space="preserve">LO#3 LFM-845-20 Chapters 1 and 2 of Life Insurance and Modified Endowments Under IRC §7702 and §7702A, Desrochers, 2nd Edition </v>
          </cell>
        </row>
        <row r="109">
          <cell r="D109" t="str">
            <v>LO#3 LFM-846-20 Company Tax – Introductory Study Note</v>
          </cell>
        </row>
        <row r="110">
          <cell r="D110" t="str">
            <v>LO#3 LFM-XXX-21: Changes to Section 7702 (IRC) and Nonforfeiture Interest Rates, Lewis &amp; Ellis, Jan 2021</v>
          </cell>
        </row>
        <row r="111">
          <cell r="D111" t="str">
            <v>LO#3 Rightsizing the Floor Interest Rate Rules of Sections 7702 and 7702A, Taxing Times, March 2021</v>
          </cell>
        </row>
        <row r="112">
          <cell r="D112" t="str">
            <v>LO#3 The Tax Cuts and Jobs Act of 2017— Effects on Life Insurers, American Academy of Actuaries, Oct 2020</v>
          </cell>
        </row>
        <row r="113">
          <cell r="D113" t="str">
            <v>LO#3 The Impact of BEAT on U.S.-Foreign Affiliated Reinsurance, Taxing Times, Dec 2020</v>
          </cell>
        </row>
        <row r="114">
          <cell r="D114" t="str">
            <v>LO#4 LFM-650-20 FASB in Focus - ACCOUNTING STANDARDS UPDATE NO. 2018-12 Targeted Improvements to the Accounting for Long-Duration Contracts Issued by Insurance Companies</v>
          </cell>
        </row>
        <row r="115">
          <cell r="D115" t="str">
            <v>LO#4 LFM-149-21: Insurance Contracts, PwC (Accounting Guide for Insurance Contracts), 2020, Sections 1.1 (pg 1.2), 3.5 (pp 3.20-3.30), 5.1-5.10 (pp 5.1-5.56); Figures IG 2-1 (pp 2.4-2.6), IG 2-2 (pp 2.15-2.18)</v>
          </cell>
        </row>
        <row r="116">
          <cell r="D116" t="str">
            <v>LO#4 LFM-143-20 Fundamentals of the Principle Based Approach to Statutory Reserves for Life Insurance, Rudolph</v>
          </cell>
        </row>
        <row r="117">
          <cell r="D117" t="str">
            <v>LO#4 LFM-144-20 The Modernization of Insurance Company Solvency Regulation in the US, Klein, Networks Financial Institute Policy Brief, 2012 (exclude Sections 7 and 9)</v>
          </cell>
        </row>
        <row r="118">
          <cell r="D118" t="str">
            <v>LO#4 LFM-XXX-21: Captive Insurance Companies, NAIC, Feb 2021</v>
          </cell>
        </row>
        <row r="119">
          <cell r="D119" t="str">
            <v>LO#4 LFM-645-21: OSFI Guideline – Life Insurance Capital Adequacy Test (LICAT), Oct 2018, Only Ch. 1</v>
          </cell>
        </row>
        <row r="120">
          <cell r="D120" t="str">
            <v xml:space="preserve">LO#4 IAIS—International Capital Standard, ComFrame, Holistic Framework for Systemic Risk in the Insurance Sector, Sullivan &amp; Cromwell LLP, Dec 2019, Only pages 1-3, 8-28 </v>
          </cell>
        </row>
        <row r="121">
          <cell r="D121" t="str">
            <v>LO#4 LFM-141-18 IFRS 17 Insurance Contracts – IFRS Standards Effects Analysis, May 2017, IASB (sections 1, 2, 4 &amp; 6.1-2 only)</v>
          </cell>
        </row>
        <row r="122">
          <cell r="D122" t="str">
            <v>LO#4 LFM-847-20 Life Insurance Regulatory Framework, OSFI, 2012</v>
          </cell>
        </row>
        <row r="123">
          <cell r="D123" t="str">
            <v>LO#5 CIA Educational Note: LICAT and CARLI, March 2018</v>
          </cell>
        </row>
        <row r="124">
          <cell r="D124" t="str">
            <v>LO#5 LFM-636-20 OSFI Guideline A-4 Internal Target Capital Ratio for Insurance Companies, December 2017</v>
          </cell>
        </row>
        <row r="125">
          <cell r="D125" t="str">
            <v>LO#5 LFM-641-19 OSFI: Own Risk and Solvency Assessment (E-19), December 2017</v>
          </cell>
        </row>
        <row r="126">
          <cell r="D126" t="str">
            <v>LO#5 LFM-645-21: OSFI Guideline – Life Insurance Capital Adequacy Test (LICAT), Oct 2018, Ch. 1-11 (excluding Sections 4.2-4.4 &amp; 7.3-7.11)</v>
          </cell>
        </row>
        <row r="127">
          <cell r="D127" t="str">
            <v xml:space="preserve">LO#5 IAIS—International Capital Standard, ComFrame, Holistic Framework for Systemic Risk in the Insurance Sector, Sullivan &amp; Cromwell LLP, Dec 2019, Only pages 1-3, 8-28  </v>
          </cell>
        </row>
        <row r="128">
          <cell r="D128" t="str">
            <v xml:space="preserve">LO#5 A Multi-Stakeholder Approach to Capital Adequacy, Conning Research </v>
          </cell>
        </row>
        <row r="129">
          <cell r="D129" t="str">
            <v>LO#5 Economic Capital A Case Study to Analyze Longevity Risk, Risk &amp; Rewards, Aug 2010</v>
          </cell>
        </row>
        <row r="130">
          <cell r="D130" t="str">
            <v>LO#5 Economic Capital for life Insurance Companies, SOA Research paper, Oct 2016 (exclude sections 5 and 7)</v>
          </cell>
        </row>
        <row r="131">
          <cell r="D131" t="str">
            <v>LO#5 LFM-148-20 The Theory of Risk Capital in Financial Firms</v>
          </cell>
        </row>
        <row r="132">
          <cell r="D132" t="str">
            <v>LO#5 LFM-813-13 U.S. Insurance Regulation Solvency Framework and Current Topics</v>
          </cell>
        </row>
        <row r="133">
          <cell r="D133" t="str">
            <v>LO#5 LFM-136-16: Chapter 11 of Life Insurance Products and Finance, Atkinson &amp; Dallas, pp. 499-502</v>
          </cell>
        </row>
        <row r="134">
          <cell r="D134" t="str">
            <v>LO#5 Lombardi, Chapter 29 – Risk-Based Capital, Valuation of Insurance Liabilities, 5th Ed.</v>
          </cell>
        </row>
        <row r="135">
          <cell r="D135" t="str">
            <v xml:space="preserve">LO#5 Group Capital Calculation: Public Summary, National Association of Insurance Commissioners,  Dec 2020  </v>
          </cell>
        </row>
        <row r="136">
          <cell r="D136" t="str">
            <v>LO#5 Group Capital Calculation: Pictorial, National Association of Insurance Commissioners, Dec 2020</v>
          </cell>
        </row>
        <row r="137">
          <cell r="D137" t="str">
            <v>LO#5 NAIC Own Risk and Solvency Assessment (ORSA) Guidance Manual, National Association of Insurance Commissioners, Dec 2017</v>
          </cell>
        </row>
        <row r="138">
          <cell r="D138" t="str">
            <v>LO#5 ASOP 55 – Capital Adequacy Assessment, Section 3 and Appendix 1</v>
          </cell>
        </row>
        <row r="139">
          <cell r="D139" t="str">
            <v xml:space="preserve">LO#6 CIA: Sources of Earnings: Determination and Disclosure, August 2004 </v>
          </cell>
        </row>
        <row r="140">
          <cell r="D140" t="str">
            <v>LO#6 LFM-603-13 OSFI Guideline D-9-Source of Earnings Disclosure (Life Insurance Companies)</v>
          </cell>
        </row>
        <row r="141">
          <cell r="D141" t="str">
            <v xml:space="preserve">LO#6 LFM-137-16 EVARAROC vs. MCEV Earnings - A Unification Approach, Kraus 2011 </v>
          </cell>
        </row>
        <row r="142">
          <cell r="D142" t="str">
            <v>LO#6 LFM-106-07 Insurance Inductry Mergers and Acquisitions, Chapter 4 (Sections 4.1-4.6)</v>
          </cell>
        </row>
        <row r="143">
          <cell r="D143" t="str">
            <v xml:space="preserve">LO#6 Embedded Value: Practice and Theory, SOA, Actuarial Practice Forum, March 2009 </v>
          </cell>
        </row>
        <row r="144">
          <cell r="D144" t="str">
            <v xml:space="preserve">LO#6 LFM-138-16 Prudential Financial - Stockholder's Equity and Operating Leverage, HBR, 2008  </v>
          </cell>
        </row>
        <row r="145">
          <cell r="D145" t="str">
            <v>LO#6 LFM-154-21 Introduction to Source of Earnings Analysis (excluding Appendices)</v>
          </cell>
        </row>
        <row r="146">
          <cell r="D146" t="str">
            <v>LO#6 LFM-147-20 A.M. Best’s - Compendium of Publications</v>
          </cell>
        </row>
        <row r="147">
          <cell r="D147" t="str">
            <v>LO#6 LFM-XXX-21: Sarbanes-Oxley Section 404: A Toolkit for Management and Auditors</v>
          </cell>
        </row>
        <row r="148">
          <cell r="D148" t="str">
            <v>LO#6 LFM-XXX-21: Captive Insurance Companies, NAIC, Feb 2021</v>
          </cell>
        </row>
        <row r="149">
          <cell r="D149" t="str">
            <v>LO#6 Chapter 19 – Variable Deferred Annuities, Lombardi, Valuation of Insurance Liabilities, 5th Ed., Section 19.4</v>
          </cell>
        </row>
        <row r="150">
          <cell r="D150" t="str">
            <v>LO#6 Model Audit Rule, American Academy of Actuaries Practice Note, 2010</v>
          </cell>
        </row>
        <row r="151">
          <cell r="D151" t="str">
            <v>LO#6 Understanding VM-20 Results, SoA and Milliman, 2017, Excluding Section 4</v>
          </cell>
        </row>
        <row r="159">
          <cell r="C159" t="str">
            <v>Retrieval</v>
          </cell>
        </row>
        <row r="160">
          <cell r="C160" t="str">
            <v>Comprehension</v>
          </cell>
        </row>
        <row r="161">
          <cell r="C161" t="str">
            <v>Analysis</v>
          </cell>
        </row>
        <row r="162">
          <cell r="C162" t="str">
            <v>Knowledge Utilization</v>
          </cell>
        </row>
      </sheetData>
      <sheetData sheetId="2"/>
      <sheetData sheetId="3" refreshError="1"/>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yllabus list"/>
      <sheetName val="Q4"/>
      <sheetName val="Q4 1st Grading"/>
      <sheetName val="Q4 2nd Grading"/>
      <sheetName val="Q4 (TBC-01 1(a) Calc)"/>
    </sheetNames>
    <sheetDataSet>
      <sheetData sheetId="0">
        <row r="4">
          <cell r="D4" t="str">
            <v>LO#1 OSFI Guideline E15: Appointed Actuary -  Legal Requirements, Qualification and External Review (Aug 2023)</v>
          </cell>
        </row>
        <row r="5">
          <cell r="D5" t="str">
            <v>LO#1 LFM-634-23: CIA Standards of Practice: Insurance Sections (only Sections 2100, 2200, 2300, 2400, 2500, and 2700),  Jan 2023</v>
          </cell>
        </row>
        <row r="6">
          <cell r="D6" t="str">
            <v>LO#1 OSFI Guideline E16: Participating Account Management and Disclosure to Participating Policyholders and Adjustable Policyholders, OSFI, 2023</v>
          </cell>
        </row>
        <row r="7">
          <cell r="D7" t="str">
            <v xml:space="preserve">LO#1 CIA Educational Note: Guidance on Fairness Opinions Required Under the Insurance Companies Act Pursuant to Bill C-57 (2005) </v>
          </cell>
        </row>
        <row r="8">
          <cell r="D8" t="str">
            <v>LO#1 CIA Educational Note: Expected Mortality: Fully Underwritten Canadian Individual Life Insurance Policies: July 2002 (only sections 100, 200, and 300)</v>
          </cell>
        </row>
        <row r="9">
          <cell r="D9" t="str">
            <v>LO#1 CIA Final Communication of a Promulgation of Prescribed Mortality Improvement Rates (July 2017)</v>
          </cell>
        </row>
        <row r="10">
          <cell r="D10" t="str">
            <v>LO#1 CIA Educational Note: Selective Lapsation for Renewable Term Insurance Products, February 2017</v>
          </cell>
        </row>
        <row r="11">
          <cell r="D11" t="str">
            <v>LO#1 CIA Report - Lapse Experience Study for 10-year Term Insurance, Jan 2014, pp. 6 -32</v>
          </cell>
        </row>
        <row r="12">
          <cell r="D12" t="str">
            <v>LO#1 CIA Explanatory Report: IFRS 17 Discount Rate Applications, Mar 2023</v>
          </cell>
        </row>
        <row r="13">
          <cell r="D13" t="str">
            <v>LO#1 LFM-659-24: Understanding IFRS 17: Solving for New Challenges, Fiera Capital, Oct 2021</v>
          </cell>
        </row>
        <row r="14">
          <cell r="D14" t="str">
            <v>LO#1 LFM-632-23: OSFI B-3 Sound Reinsurance Practices and Procedures</v>
          </cell>
        </row>
        <row r="15">
          <cell r="D15" t="str">
            <v>LO#1 CIA Educational Note: Comparison of IFRS 17 to Current CIA Standard of Practice</v>
          </cell>
        </row>
        <row r="16">
          <cell r="D16" t="str">
            <v>LO#1 CIA Educational Note: Risk Adjustment under IFRS 17</v>
          </cell>
        </row>
        <row r="17">
          <cell r="D17" t="str">
            <v>LO#1 CIA Educational Note: Estimates of Future Cash Flows under IFRS 17</v>
          </cell>
        </row>
        <row r="18">
          <cell r="D18" t="str">
            <v>LO#1 LFM-649-22: International Actuarial Note 100 Application of IFRS 17 (exclude Section C Chapter 11 and Section D), Jan 2019</v>
          </cell>
        </row>
        <row r="19">
          <cell r="D19" t="str">
            <v>LO#1 IFRS 17 – Coverage Units for Life and Health Insurance Contracts</v>
          </cell>
        </row>
        <row r="20">
          <cell r="D20" t="str">
            <v>LO#1 CIA Educational Note - Market Consistent Valuation of Financial Guarantees for Life and Health Insurance Contracts</v>
          </cell>
        </row>
        <row r="21">
          <cell r="D21" t="str">
            <v>LO#1 CIA Educational Note - Discount Rates for Life and Health Insurance Contracts</v>
          </cell>
        </row>
        <row r="22">
          <cell r="D22" t="str">
            <v>LO#1 IFRS 17 Spreadsheet Model</v>
          </cell>
        </row>
        <row r="23">
          <cell r="D23" t="str">
            <v>LO#1 LFM-657-22: The IFRS 17 Contractual Service Margin: A Life Insurance Perspective (Sections 1-4.8)</v>
          </cell>
        </row>
        <row r="24">
          <cell r="D24" t="str">
            <v>LO#1 CIA Educational Note: IFRS 17 Measurement and Presentation of Canadian Participating Insurance Contracts</v>
          </cell>
        </row>
        <row r="25">
          <cell r="D25" t="str">
            <v>LO#1 CIA Explanatory Report: IFRS 17 Expenses</v>
          </cell>
        </row>
        <row r="26">
          <cell r="D26" t="str">
            <v>LO#1 CIA Educational Note: IFRS 17 – Fair Value of Insurance Contracts (Including Excel)</v>
          </cell>
        </row>
        <row r="27">
          <cell r="D27" t="str">
            <v>LO#1 LFM-658-23: Risk Adjustments For Insurance Contracts Under IFRS 17, Chapter 2 “Principles Underlying Risk adjustments”</v>
          </cell>
        </row>
        <row r="28">
          <cell r="D28" t="str">
            <v>LO#1 LFM-856-23: US GAAP for Life Insurers, 2022 - Chapter 1:    US GAAP - Objectives and Implications</v>
          </cell>
        </row>
        <row r="29">
          <cell r="D29" t="str">
            <v>LO#1 LFM-856-23: US GAAP for Life Insurers, 2022 - Chapter 3:    US GAAP - Product Classification</v>
          </cell>
        </row>
        <row r="30">
          <cell r="D30" t="str">
            <v>LO#1 LFM-856-23: US GAAP for Life Insurers, 2022 - Chapter 4:    US GAAP - Expenses and Capitalization</v>
          </cell>
        </row>
        <row r="31">
          <cell r="D31" t="str">
            <v>LO#1 LFM-856-23: US GAAP for Life Insurers, 2022 - Chapter 5:    US GAAP - Non-participating Traditional Life Insurance</v>
          </cell>
        </row>
        <row r="32">
          <cell r="D32" t="str">
            <v>LO#1 LFM-856-23: US GAAP for Life Insurers, 2022 - Chapter 6:    US GAAP - Participating Traditional Life Insurance</v>
          </cell>
        </row>
        <row r="33">
          <cell r="D33" t="str">
            <v>LO#1 LFM-856-23: US GAAP for Life Insurers, 2022 - Chapter 7:    US GAAP - Universal Life Insurance (only sections 1, 2, 5-7)</v>
          </cell>
        </row>
        <row r="34">
          <cell r="D34" t="str">
            <v>LO#1 LFM-856-23: US GAAP for Life Insurers, 2022 - Chapter 8:   US GAAP - Long Duration Health (only sections 1, 2.8.2, 3-5)</v>
          </cell>
        </row>
        <row r="35">
          <cell r="D35" t="str">
            <v>LO#1 LFM-856-23: US GAAP for Life Insurers, 2022 - Chapter 11:    US GAAP - Deferred Annuities</v>
          </cell>
        </row>
        <row r="36">
          <cell r="D36" t="str">
            <v>LO#1 LFM-856-23: US GAAP for Life Insurers, 2022 - Chapter 12:    US GAAP - Annuities in Payment Status</v>
          </cell>
        </row>
        <row r="37">
          <cell r="D37" t="str">
            <v>LO#1 LFM-856-23: US GAAP for Life Insurers, 2022 - Chapter 13:    US GAAP - Group Pension (only sections 2.3, 3 &amp; 4)</v>
          </cell>
        </row>
        <row r="38">
          <cell r="D38" t="str">
            <v>LO#1 LFM-856-23: US GAAP for Life Insurers, 2022 - Chapter 15:   US GAAP - Reinsurance</v>
          </cell>
        </row>
        <row r="39">
          <cell r="D39" t="str">
            <v>LO#1 LFM-856-23: US GAAP for Life Insurers, 2022 - Chapter 19:   US GAAP - Investment Accounting</v>
          </cell>
        </row>
        <row r="40">
          <cell r="D40" t="str">
            <v>LO#1 LFM-856-23: US GAAP for Life Insurers, 2022 - Chapter 20:   US GAAP - Derivatives and Hedging</v>
          </cell>
        </row>
        <row r="41">
          <cell r="D41" t="str">
            <v>LO#1 Implementation Considerations For VA Market Risk Benefits, Financial Reporter, Sep 2019</v>
          </cell>
        </row>
        <row r="42">
          <cell r="D42" t="str">
            <v>LO#1 Targeted Improvements Interactive Model</v>
          </cell>
        </row>
        <row r="43">
          <cell r="D43" t="str">
            <v>LO#2 LFM-650-20: FASB in Focus - ACCOUNTING STANDARDS UPDATE NO. 2018-12: Targeted Improvements to the Accounting for Long-Duration Contracts Issued by Insurance Companies</v>
          </cell>
        </row>
        <row r="44">
          <cell r="D44" t="str">
            <v>LO#2 LFM-143-20: Fundamentals of the Principle Based Approach to Statutory Reserves for Life Insurance, Rudolph</v>
          </cell>
        </row>
        <row r="45">
          <cell r="D45" t="str">
            <v>LO#2 LFM-149-21: Insurance Contracts Accounting Guide, PWC, Oct 2019 (Sections 1.1, 3.5, 5.1-5.4, 5.6; Figures IG 2-1, 2-2)</v>
          </cell>
        </row>
        <row r="46">
          <cell r="D46" t="str">
            <v>LO#2 LFM-144-20: The Modernization of Insurance Company Solvency Regulation in the US, Klein, Networks Financial Institute Policy Brief, 2012 (exclude Sections 7 and 9)</v>
          </cell>
        </row>
        <row r="47">
          <cell r="D47" t="str">
            <v>LO#2 Bridging the GAAP: IFRS 17 and LDTI Differences Explored, Financial Reporter, July 2022</v>
          </cell>
        </row>
        <row r="48">
          <cell r="D48" t="str">
            <v>LO#2 Regulatory Capital Adequacy for Life Insurance Companies: A Comparison of Four Jurisdictions (including spreadsheet)</v>
          </cell>
        </row>
        <row r="49">
          <cell r="D49" t="str">
            <v>LO#2 Valuation of Life Insurance Liabilities, Lombardi, Louis J., 5th Edition, 2018, Chapter 1 – Overview of Valuation Concepts (exclude 1.1-9)</v>
          </cell>
        </row>
        <row r="50">
          <cell r="D50" t="str">
            <v>LO#2 Valuation of Life Insurance Liabilities, Lombardi, Louis J., 5th Edition, 2018, Chapter 2 – Product Classifications (2.2 only)</v>
          </cell>
        </row>
        <row r="51">
          <cell r="D51" t="str">
            <v>LO#2 Valuation of Life Insurance Liabilities, Lombardi, Louis J., 5th Edition, 2018, Chapter 3 – NAIC Annual Statement</v>
          </cell>
        </row>
        <row r="52">
          <cell r="D52" t="str">
            <v>LO#2 Valuation of Life Insurance Liabilities, Lombardi, Louis J., 5th Edition, 2018, Chapter 4 – Standard Valuation Law</v>
          </cell>
        </row>
        <row r="53">
          <cell r="D53" t="str">
            <v>LO#2 Valuation of Life Insurance Liabilities, Lombardi, Louis J., 5th Edition, 2018, Chapter 5 – The Valuation Manual</v>
          </cell>
        </row>
        <row r="54">
          <cell r="D54" t="str">
            <v>LO#2 Valuation of Life Insurance Liabilities, Lombardi, Louis J., 5th Edition, 2018, Chapter 10 – Valuation Assumptions (exclude 10.1.3, 10.3.8)</v>
          </cell>
        </row>
        <row r="55">
          <cell r="D55" t="str">
            <v>LO#2 Valuation of Life Insurance Liabilities, Lombardi, Louis J., 5th Edition, 2018, Chapter 11 – Valuation Methodologies (exclude 11.3.9 to 11.3.11)</v>
          </cell>
        </row>
        <row r="56">
          <cell r="D56" t="str">
            <v xml:space="preserve">LO#2 Valuation of Life Insurance Liabilities, Lombardi, Louis J., 5th Edition, 2018, Chapter 12 – Whole Life </v>
          </cell>
        </row>
        <row r="57">
          <cell r="D57" t="str">
            <v xml:space="preserve">LO#2 Valuation of Life Insurance Liabilities, Lombardi, Louis J., 5th Edition, 2018, Chapter 13 – Term Life Insurance </v>
          </cell>
        </row>
        <row r="58">
          <cell r="D58" t="str">
            <v>LO#2 Valuation of Life Insurance Liabilities, Lombardi, Louis J., 5th Edition, 2018, Chapter 14 – Universal Life (exclude 14.4.8, 14.4.9, 14.5.0, 14.6.2-6)</v>
          </cell>
        </row>
        <row r="59">
          <cell r="D59" t="str">
            <v>LO#2 Valuation of Life Insurance Liabilities, Lombardi, Louis J., 5th Edition, 2018, Chapter 16 – Indexed Universal Life (exclude 16.4.2-3)</v>
          </cell>
        </row>
        <row r="60">
          <cell r="D60" t="str">
            <v>LO#2 Valuation of Life Insurance Liabilities, Lombardi, Louis J., 5th Edition, 2018, Chapter 18 – Fixed Deferred  Annuities (exclude 18.7.4, 18.8)</v>
          </cell>
        </row>
        <row r="61">
          <cell r="D61" t="str">
            <v xml:space="preserve">LO#2 Valuation of Life Insurance Liabilities, Lombardi, Louis J., 5th Edition, 2018, Chapter 20 -- Indexed Deferred Annuities </v>
          </cell>
        </row>
        <row r="62">
          <cell r="D62" t="str">
            <v xml:space="preserve">LO#2 Valuation of Life Insurance Liabilities, Lombardi, Louis J., 5th Edition, 2018, Chapter 21 – Immediate Annuities </v>
          </cell>
        </row>
        <row r="63">
          <cell r="D63" t="str">
            <v>LO#2 Valuation of Life Insurance Liabilities, Lombardi, Louis J., 5th Edition, 2018, Chapter 22 – Miscellaneous Reserves (exclude 22.3 to 22.4) </v>
          </cell>
        </row>
        <row r="64">
          <cell r="D64" t="str">
            <v>LO#2 Valuation of Life Insurance Liabilities, Lombardi, Louis J., 5th Edition, 2018, Chapter 23 – PBR for Life Products (exclude 23.1)</v>
          </cell>
        </row>
        <row r="65">
          <cell r="D65" t="str">
            <v>LO#2 Valuation of Life Insurance Liabilities, Lombardi, Louis J., 5th Edition, 2018, Chapter 24 - Addendum for Variable Annuity Updates</v>
          </cell>
        </row>
        <row r="66">
          <cell r="D66" t="str">
            <v>LO#2 Valuation of Life Insurance Liabilities, Lombardi, Louis J., 5th Edition, 2018, Chapter 25 - Overview of VM-31</v>
          </cell>
        </row>
        <row r="67">
          <cell r="D67" t="str">
            <v>LO#2 Impacts of AG 48, FR, 2015</v>
          </cell>
        </row>
        <row r="68">
          <cell r="D68" t="str">
            <v>LO#2 LFM-822-16: Study Note on Actuarial Guidelines AG 38 &amp; 48 (exclude pages 6 to 8)</v>
          </cell>
        </row>
        <row r="69">
          <cell r="D69" t="str">
            <v>LO#2 Practitioner Considerations for Guideline Excess Spread Attribution Methodology under Actuarial Guideline LIII (AG53), SOA Research Institute, Jan 2023</v>
          </cell>
        </row>
        <row r="70">
          <cell r="D70" t="str">
            <v>LO#2 Principle-Based Reserves Interactive Model</v>
          </cell>
        </row>
        <row r="71">
          <cell r="D71" t="str">
            <v>LO#2 PBA Corner, Financial Reporter, Jun 2016</v>
          </cell>
        </row>
        <row r="72">
          <cell r="D72" t="str">
            <v>LO#2 Reflection of COVID-19 in Life Insurance Mortality Improvement: A Discussion Brief, American Academy of Actuaries, May 2022</v>
          </cell>
        </row>
        <row r="73">
          <cell r="D73" t="str">
            <v>LO#3 Canadian Insurance Taxation, Swales, et. Al., 4th Ed, 2015, Chapter 3, Liability for Income Tax</v>
          </cell>
        </row>
        <row r="74">
          <cell r="D74" t="str">
            <v>LO#3 Canadian Insurance Taxation, Swales, et. Al., 4th Ed, 2015, Chapter 4, Income for Tax Purposes - General Rules,</v>
          </cell>
        </row>
        <row r="75">
          <cell r="D75" t="str">
            <v>LO#3 Canadian Insurance Taxation, Swales, et. Al., 4th Ed, 2015, Chapter 5, Investment Income,</v>
          </cell>
        </row>
        <row r="76">
          <cell r="D76" t="str">
            <v>LO#3 Canadian Insurance Taxation, Swales, et. Al., 4th Ed, 2015, Chapter 6, Reserves,</v>
          </cell>
        </row>
        <row r="77">
          <cell r="D77" t="str">
            <v>LO#3 Canadian Insurance Taxation, Swales, et. Al., 4th Ed, 2015, Chapter 9, IIT</v>
          </cell>
        </row>
        <row r="78">
          <cell r="D78" t="str">
            <v xml:space="preserve">LO#3 Canadian Insurance Taxation, Swales, et. Al., 4th Ed, 2015, Chapter 10, The Taxation of Life Insurance Policies </v>
          </cell>
        </row>
        <row r="79">
          <cell r="D79" t="str">
            <v>LO#3 Canadian Insurance Taxation, Swales, et. Al., 4th Ed, 2015, Chapter 11, The Taxation of Annuites</v>
          </cell>
        </row>
        <row r="80">
          <cell r="D80" t="str">
            <v>LO#3 Canadian Insurance Taxation, Swales, et. Al., 4th Ed, 2015, Chapter 24, Provincial Premium Tax,</v>
          </cell>
        </row>
        <row r="81">
          <cell r="D81" t="str">
            <v>LO#3 LFM-846-20: Company Tax – Introductory Study Note</v>
          </cell>
        </row>
        <row r="82">
          <cell r="D82" t="str">
            <v xml:space="preserve">LO#3 LFM-845-20: Chapters 1 and 2 of Life Insurance and Modified Endowments Under IRC §7702 and §7702A, Desrochers, 2nd Edition </v>
          </cell>
        </row>
        <row r="83">
          <cell r="D83" t="str">
            <v>LO#3 LFM-850-22: Changes to Section 7702 (IRC) and Nonforfeiture Interet Rates, Lewis &amp; Ellis, Jan 2021</v>
          </cell>
        </row>
        <row r="84">
          <cell r="D84" t="str">
            <v>LO#3 The Tax Cuts and Jobs Act of 2017— Effects on Life Insurers, American Academy of Actuaries, Oct 2020</v>
          </cell>
        </row>
        <row r="85">
          <cell r="D85" t="str">
            <v>LO#4 Economic Capital for life Insurance Companies, SOA Research paper, Oct 2016 (only sections 2 and 6)</v>
          </cell>
        </row>
        <row r="86">
          <cell r="D86" t="str">
            <v xml:space="preserve">LO#4 A Multi-Stakeholder Approach to Capital Adequacy, Conning Research </v>
          </cell>
        </row>
        <row r="87">
          <cell r="D87" t="str">
            <v xml:space="preserve">LO#4 The Theory of Risk Capital in Financial Firms, Chew </v>
          </cell>
        </row>
        <row r="88">
          <cell r="D88" t="str">
            <v xml:space="preserve">LO#4 The Theory of Risk Capital in Financial Firms, Chew </v>
          </cell>
        </row>
        <row r="89">
          <cell r="D89" t="str">
            <v>LO#4 LFM-645-23: OSFI LICAT Guideline, Chapters 1 - 11, excluding Sections 4.2-4.4 and 7.3-7.11</v>
          </cell>
        </row>
        <row r="90">
          <cell r="D90" t="str">
            <v>LO#4 LFM-636-20: OSFI Guideline A-4 Internal Target Capital Ratio for Insurance Companies, December 2017</v>
          </cell>
        </row>
        <row r="91">
          <cell r="D91" t="str">
            <v>LO#4 LFM-641-19: OSFI: Own Risk and Solvency Assessment (E-19), December 2017</v>
          </cell>
        </row>
        <row r="92">
          <cell r="D92" t="str">
            <v xml:space="preserve">LO#4 LFM-151-22: IAIS—International Capital Standard, ComFrame, Holistic Framework for Systemic Risk in the Insurance Sector, Sullivan &amp; Cromwell LLP, Dec 2019, Only pages 1-3, 8-28  </v>
          </cell>
        </row>
        <row r="93">
          <cell r="D93" t="str">
            <v>LO#4 LFM-813-13: U.S. Insurance Regulation Solvency Framework and Current Topics</v>
          </cell>
        </row>
        <row r="94">
          <cell r="D94" t="str">
            <v>LO#4 Lombardi, Chapter 29 – Risk-Based Capital, Valuation of Insurance Liabilities, 5th Ed.</v>
          </cell>
        </row>
        <row r="95">
          <cell r="D95" t="str">
            <v xml:space="preserve">LO#4 LFM-852-22: Group Capital Calculation: Public Summary, National Association of Insurance Commissioners,  Dec 2020  </v>
          </cell>
        </row>
        <row r="96">
          <cell r="D96" t="str">
            <v>LO#4 LFM-853-22: Group Capital Calculation: Pictorial, National Association of Insurance Commissioners, Dec 2020</v>
          </cell>
        </row>
        <row r="97">
          <cell r="D97" t="str">
            <v>LO#4 LFM-854-22:NAIC Own Risk and Solvency Assessment (ORSA) Guidance Manual, National Association of Insurance Commissioners, Dec 2017</v>
          </cell>
        </row>
        <row r="98">
          <cell r="D98" t="str">
            <v>LO#4 ASOP 55 – Capital Adequacy Assessment, Section 3 and Appendix 1</v>
          </cell>
        </row>
        <row r="99">
          <cell r="D99" t="str">
            <v xml:space="preserve">LO#5 LFM-106-07: Insurance Industry Mergers and Acquisitions, Chapter 4 (Sections 4.1-4.6) </v>
          </cell>
        </row>
        <row r="100">
          <cell r="D100" t="str">
            <v xml:space="preserve">LO#5 Embedded Value: Practice and Theory, SOA, Actuarial Practice Forum, March 2009 </v>
          </cell>
        </row>
        <row r="101">
          <cell r="D101" t="str">
            <v xml:space="preserve">LO#5 LFM-138-16: Prudential Financial - Stockholder's Equity and Operating Leverage, HBR, 2008  </v>
          </cell>
        </row>
        <row r="102">
          <cell r="D102" t="str">
            <v>LO#5 Will IFRS 17 replace EV, Milliman, Sep 2018</v>
          </cell>
        </row>
        <row r="103">
          <cell r="D103" t="str">
            <v>LO#5 OSFI Guideline B-15: Climate Risk Management</v>
          </cell>
        </row>
        <row r="104">
          <cell r="D104" t="str">
            <v>LO#5 Chapter 19 – Variable Deferred Annuities, Lombardi, Valuation of Insurance Liabilities, 5th Ed., Section 19.4</v>
          </cell>
        </row>
        <row r="105">
          <cell r="D105" t="str">
            <v>LO#5 LFM-152-22: Introduction to Source of Earnings Analysis (excluding Appendices)</v>
          </cell>
        </row>
        <row r="106">
          <cell r="D106" t="str">
            <v>LO#6 LFM-144-20: The Modernization of Insurance Company Solvency Regulation in the US, Klein, Networks Financial Institute Policy Brief, 2012 (exclude Sections 7 and 9)</v>
          </cell>
        </row>
        <row r="107">
          <cell r="D107" t="str">
            <v xml:space="preserve">LO#6 LFM-XXX-24: Insurance Contracts First Impressions: 2020 Edition IFRS 17, KPMG, July 2020 </v>
          </cell>
        </row>
        <row r="108">
          <cell r="D108" t="str">
            <v>LO#6 LFM-847-20: Life Insurance Regulatory Framework, OSFI, 2012</v>
          </cell>
        </row>
        <row r="109">
          <cell r="D109" t="str">
            <v xml:space="preserve">LO#6 LFM-151-22: IAIS—International Capital Standard, ComFrame, Holistic Framework for Systemic Risk in the Insurance Sector, Sullivan &amp; Cromwell LLP, Dec 2019, Pages 1-3, 8-28 </v>
          </cell>
        </row>
        <row r="110">
          <cell r="D110" t="str">
            <v>LO#6 Bridging the GAAP: IFRS 17 and LDTI Differences Explored, Financial Reporter, July 2022</v>
          </cell>
        </row>
        <row r="111">
          <cell r="D111" t="str">
            <v>LO#6 Regulatory Capital Adequacy for Life Insurance Companies: A Comparison of Four Jurisdictions (including spreadsheet)</v>
          </cell>
        </row>
        <row r="118">
          <cell r="C118" t="str">
            <v>Retrieval</v>
          </cell>
        </row>
        <row r="119">
          <cell r="C119" t="str">
            <v>Comprehension</v>
          </cell>
        </row>
        <row r="120">
          <cell r="C120" t="str">
            <v>Analysis</v>
          </cell>
        </row>
        <row r="121">
          <cell r="C121" t="str">
            <v>Knowledge Utilization</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yllabus list"/>
      <sheetName val="Qxt"/>
      <sheetName val="Graph for Word Document"/>
    </sheetNames>
    <sheetDataSet>
      <sheetData sheetId="0" refreshError="1"/>
      <sheetData sheetId="1">
        <row r="4">
          <cell r="D4" t="str">
            <v>LO#1 CIA Report: Lapse Experience Study for 10-year Term Insurance, Jan 2014, pp. 6 -32</v>
          </cell>
        </row>
        <row r="5">
          <cell r="D5" t="str">
            <v>LO#1 CIA Research Paper: Lapse Experience under UL Level COI Policies, Sep 2015, pp. 4 - 8</v>
          </cell>
        </row>
        <row r="6">
          <cell r="D6" t="str">
            <v>LO#1 CIA Educational note, Currency Risk in the Valuation of Policy Liabilities for Life and Health Insurers, December 2009</v>
          </cell>
        </row>
        <row r="7">
          <cell r="D7" t="str">
            <v>LO#1 CIA Educational Note, Development of the Equilibrium Risk-Free Market Curve for the Base Scenario, December 2015</v>
          </cell>
        </row>
        <row r="8">
          <cell r="D8" t="str">
            <v xml:space="preserve">LO#1 CIA Educational Note: Approximations to the Canadian Asset Liability Method (CALM): November 2006 </v>
          </cell>
        </row>
        <row r="9">
          <cell r="D9" t="str">
            <v xml:space="preserve">LO#1 CIA Educational Note: Best Estimates Assumptions for Expenses – November 2006 </v>
          </cell>
        </row>
        <row r="10">
          <cell r="D10" t="str">
            <v>LO#1 CIA Educational Note: CALM Implications of AcSB Section 3855 Financial Instruments - Recognition and Measurement (June 2006)</v>
          </cell>
        </row>
        <row r="11">
          <cell r="D11" t="str">
            <v>LO#1 CIA Educational Note: Dividend Determination for Participating Policies, Jan 2014</v>
          </cell>
        </row>
        <row r="12">
          <cell r="D12" t="str">
            <v>LO#1 CIA Educational Note: Expected Mortality: Fully Underwritten Canadian Individual Life Insurance Policies: July 2002 (exclude appendices)</v>
          </cell>
        </row>
        <row r="13">
          <cell r="D13" t="str">
            <v>LO#1 CIA Educational Note: Guidance on Fairness Opinions Required Under the Insurance Companies Act Pursuant to Bill C-57 (2005) Dec 2011</v>
          </cell>
        </row>
        <row r="14">
          <cell r="D14" t="str">
            <v>LO#1 CIA Educational Note: Investment Assumptions Used in the Valuation of Life and Health Insurance Contract Liabilities Sep.2015</v>
          </cell>
        </row>
        <row r="15">
          <cell r="D15" t="str">
            <v>LO#1 CIA Educational Note: Margins for Adverse Deviations (Mfad) – November 2006</v>
          </cell>
        </row>
        <row r="16">
          <cell r="D16" t="str">
            <v xml:space="preserve">LO#1 CIA Educational Note: Reflection of Hedging in Segregated Fund Valuation – May 2012 </v>
          </cell>
        </row>
        <row r="17">
          <cell r="D17" t="str">
            <v>LO#1 CIA Educational Note: Selective Lapsation for Renewable Term Insurance Products, February 2017</v>
          </cell>
        </row>
        <row r="18">
          <cell r="D18" t="str">
            <v xml:space="preserve">LO#1 CIA Educational Note: Valuation of Gross Policy Liabilities and Reinsurance Recoverables (December 2010) </v>
          </cell>
        </row>
        <row r="19">
          <cell r="D19" t="str">
            <v>LO#1 CIA Educational Note: Valuation of Universal Life Policy Liabilities - February 2012</v>
          </cell>
        </row>
        <row r="20">
          <cell r="D20" t="str">
            <v>LO#1 CIA Final Communication of a Promulgation of Prescribed Mortality Improvement Rates (July 2017)</v>
          </cell>
        </row>
        <row r="21">
          <cell r="D21" t="str">
            <v>LO#1 CIA Draft Report: Task Force on Mortality Improvement, April 2017</v>
          </cell>
        </row>
        <row r="22">
          <cell r="D22" t="str">
            <v>LO#1 CIA Research Paper: Calibration of Fixed-Income Returns Segregated Fund Liability April 2014</v>
          </cell>
        </row>
        <row r="23">
          <cell r="D23" t="str">
            <v xml:space="preserve">LO#1 CIA Use of Actuarial Judgment in Setting Assumptions and Margins for Adverse Deviations, November 2006 </v>
          </cell>
        </row>
        <row r="24">
          <cell r="D24" t="str">
            <v xml:space="preserve">LO#1 CIA Educational Note: Valuation of Segregated Fund Investment Guarantees (October 2005) </v>
          </cell>
        </row>
        <row r="25">
          <cell r="D25" t="str">
            <v>LO#1 CIA Education Note: Investment Returns for non-fixed-income returns for Assets, March 2011</v>
          </cell>
        </row>
        <row r="26">
          <cell r="D26" t="str">
            <v>LO#1 Final Communication of Promulgations of the Maximum Net Credit Spread, Ultimate Reinvestment Rates and Calibration Criteria for Stochastic Risk-Free Interest Rates in the Standards of Practice, May 2014 - Section 2 Only</v>
          </cell>
        </row>
        <row r="27">
          <cell r="D27" t="str">
            <v>LO#1 Final Communication of Updated Promulgations of the Ultimate Reinvestment Rates and Calibration Criteria for Stochastic Risk-Free Interest Rates in the Standards of Practice, July 2019</v>
          </cell>
        </row>
        <row r="28">
          <cell r="D28" t="str">
            <v>LO#1 LFM-618-13 OSFI Guideline D-10: Accounting for Financial Instruments Designated as Fair Value Option</v>
          </cell>
        </row>
        <row r="29">
          <cell r="D29" t="str">
            <v>LO#1 LFM-620-14 OSFI Guideline E15: Appointed Actuary -  Legal Requirements, Qualification and External Review (Sep 2012)</v>
          </cell>
        </row>
        <row r="30">
          <cell r="D30" t="str">
            <v>LO#1 LFM-632-12 OSFI B-3 Sound Reinsurance Practices and Procedures</v>
          </cell>
        </row>
        <row r="31">
          <cell r="D31" t="str">
            <v>LO#1 LFM-634-19 CIA Standards of Practice: Insurance  Sections 2100, 2300, 2400, 2500 &amp; 2700,  Dec 2019</v>
          </cell>
        </row>
        <row r="32">
          <cell r="D32" t="str">
            <v>LO#1 LFM-635-13 Participating Account Management and Disclosure to Participating Policyholders and Adjustable Policyholders</v>
          </cell>
        </row>
        <row r="33">
          <cell r="D33" t="str">
            <v>LO#1 LFM-637-13 OSFI Letter evidence for Mean Reversion in Equity Prices</v>
          </cell>
        </row>
        <row r="34">
          <cell r="D34" t="str">
            <v>LO#1 LFM-652-20 Canadian Life and Health Insurance Guidelines (CLHIA) - Guideline G-6 - Illustrations</v>
          </cell>
        </row>
        <row r="35">
          <cell r="D35" t="str">
            <v>LO#1 CIA Report: Report of the Task Force on Segregated Fund Liability and Capital Methodologies (Aug 2010)</v>
          </cell>
        </row>
        <row r="36">
          <cell r="D36" t="str">
            <v>LO#1 CIA Educational Note: Considerations in the Valuation of Segregated Fund Products, Nov 2007</v>
          </cell>
        </row>
        <row r="37">
          <cell r="D37" t="str">
            <v>LO#1 LFMU GAAP Materials Flowchart</v>
          </cell>
        </row>
        <row r="38">
          <cell r="D38" t="str">
            <v>LO#1    Chapter  3:    US GAAP - Expenses and Capitalization (exclude 3.7.1, 3.7.3, 3.11.4.5, and 3.12)</v>
          </cell>
        </row>
        <row r="39">
          <cell r="D39" t="str">
            <v>LO#1    Chapter  4:    US GAAP - Traditional Life Insurance (SFAS 60 &amp; 97) (exclude 4.4 to 4.14)</v>
          </cell>
        </row>
        <row r="40">
          <cell r="D40" t="str">
            <v>LO#1    Chapter  6:    US GAAP - Universal Life Insurance (exclude 6.7 to 6.7.1.6, 6.7.3 to 6.7.6.3, 6.10 to 6.13.2)</v>
          </cell>
        </row>
        <row r="41">
          <cell r="D41" t="str">
            <v>LO#1    Chapter  7:    US GAAP - Deferred Annuities (exclude 7.4.1d, 7.6, 7.8, 7.10, 7.11, 7.13)</v>
          </cell>
        </row>
        <row r="42">
          <cell r="D42" t="str">
            <v>LO#1    Chapter  9:    US GAAP - Annuities in Payment Status (exclude section 9.5)</v>
          </cell>
        </row>
        <row r="43">
          <cell r="D43" t="str">
            <v>LO#1    Chapter 13:   US GAAP - Investment Accounting (exclude 13.7 and 13.12))</v>
          </cell>
        </row>
        <row r="44">
          <cell r="D44" t="str">
            <v>LO#1    Chapter 15:   US GAAP - Accounting for Business Combinations (exclude 15.7.3 to 15.7.8, and 15.10.5 to 15.15)</v>
          </cell>
        </row>
        <row r="45">
          <cell r="D45" t="str">
            <v>LO#1    Chapter 18:   US GAAP - Other Topics: Deferred Taxes and Fair Value Reporting (exclude 18.2, 18.4, and 18.6)</v>
          </cell>
        </row>
        <row r="46">
          <cell r="D46" t="str">
            <v>LO#1 LFM-XXX-21: A Comprehensive Guide – Reinsurance, E&amp;Y, 2020, (Sections 1, 2, 4, 7, Appendix D)</v>
          </cell>
        </row>
        <row r="47">
          <cell r="D47" t="str">
            <v>LO#1 LFM-149-21: Insurance Contracts, PwC (Accounting Guide for Insurance Contracts), 2020, Sections 1.1 -1.3 (pp 1.2-1.9), 2.1-2.5 (pp 2.2-2.21) 3.1-3.9 (pp 3.2-3.48), 5.1-5.10 (pp 5.2-5.56), and Figures IG 2-1 (pp 2.4-2.6) &amp; IG 2-2 (pp 2.15-2.18)</v>
          </cell>
        </row>
        <row r="48">
          <cell r="D48" t="str">
            <v>LO#1 Implementation Considerations For VA Market Risk Benefits, Financial Reporter, Sep 2019 </v>
          </cell>
        </row>
        <row r="49">
          <cell r="D49" t="str">
            <v>LO#1 LFM-840-20 A Comprehensive Guide - Derivatives and Hedging, E&amp;Y, 2019, (Sections 1.1-1.7, 3.1-3.3, 4.1-4.3, 9.1-9.5, Appendices A and C1.1-4)</v>
          </cell>
        </row>
        <row r="50">
          <cell r="D50" t="str">
            <v>LO#1 LFM-841-20 A Closer Look at How Insurers Will Have to Change their Accounting and Disclosures for Long-Duration Contracts, E&amp;Y, Nov 2018</v>
          </cell>
        </row>
        <row r="51">
          <cell r="D51" t="str">
            <v>LO#1 Targeted Improvements Interactive Model</v>
          </cell>
        </row>
        <row r="52">
          <cell r="D52" t="str">
            <v>LO#2 CIA Educational Note: Comparison of IFRS 17 to Current CIA Standard of Practice, Sept 2018</v>
          </cell>
        </row>
        <row r="53">
          <cell r="D53" t="str">
            <v>LO#2 CIA Educational Note: IFRS 17 Estimates of Future Cash Flows for Life and Health Insurance Contracts, Sep 2019</v>
          </cell>
        </row>
        <row r="54">
          <cell r="D54" t="str">
            <v>LO#2 CIA Educational Note: IFRS 17 Risk Adjustment for Non-Financial Risk for Life and Health Insurance Contracts, Jul 2019</v>
          </cell>
        </row>
        <row r="55">
          <cell r="D55" t="str">
            <v>LO#2 CIA Educational Note: Transition from CALM to IFRS 17 Valuation of Canadian Participating Insurance Contracts, Mar 2019</v>
          </cell>
        </row>
        <row r="56">
          <cell r="D56" t="str">
            <v>LO#2 CIA Educational Note: IFRS 17 Discount Rates for Life and Health Insurance Contracts, Jun 2020</v>
          </cell>
        </row>
        <row r="57">
          <cell r="D57" t="str">
            <v>LO#2 CIA Educational Note: IFRS 17 Coverage Units for Life and Health Insurance Contracts, Dec 2019</v>
          </cell>
        </row>
        <row r="58">
          <cell r="D58" t="str">
            <v>LO#2 CIA Educational Note: IFRS 17 Market Consistent Valuation of Financial Guarantees for Life and Health Insurance Contracts, May 2020</v>
          </cell>
        </row>
        <row r="59">
          <cell r="D59" t="str">
            <v>LO#2 CIA Educational Note: IFRS 17 Measurement and Presentation of Canadian Participating Insurance Contracts, Apr 2021</v>
          </cell>
        </row>
        <row r="60">
          <cell r="D60" t="str">
            <v>LO#2 IFRS 17 Insurance Contracts Example (Spreadsheet Model)</v>
          </cell>
        </row>
        <row r="61">
          <cell r="D61" t="str">
            <v>LO#2 LFM-141-18 IFRS 17 Insurance Contracts – IFRS Standards Effects Analysis, May 2017, IASB (sections 1, 2, 4 &amp; 6.1-2 only)</v>
          </cell>
        </row>
        <row r="62">
          <cell r="D62" t="str">
            <v>LO#2 LFM-655-21: IFRS Standards Exposure Draft Amendments to IFRS 17, Jun 2019</v>
          </cell>
        </row>
        <row r="63">
          <cell r="D63" t="str">
            <v>LO#2 LFM-656-21: PwC In transition: The latest on IFRS 17 implementation, Feb 2020</v>
          </cell>
        </row>
        <row r="64">
          <cell r="D64" t="str">
            <v>LO#2  LFM-649-20: International Actuarial Note 100: Application of IFRS 17 (excluding section C chapter 11 and section D )</v>
          </cell>
        </row>
        <row r="65">
          <cell r="D65" t="str">
            <v>LO#2 LFM-XXX-21: The IFRS 17 Contractual Service Margin: A Life Insurance Perspective (Sections 1-4.7 &amp; 5)</v>
          </cell>
        </row>
        <row r="66">
          <cell r="D66" t="str">
            <v>LO#2 LFMU PBR Materials Flowchart, 2020</v>
          </cell>
        </row>
        <row r="67">
          <cell r="D67" t="str">
            <v>LO#2 ASOP 52 - Principle-Based Reserves for Life Products under the NAIC Valuation Manual on PBR for Life Products, Section 3</v>
          </cell>
        </row>
        <row r="68">
          <cell r="D68" t="str">
            <v>LO#2 Impacts of AG 48, Financial Reporter, Dec 2015</v>
          </cell>
        </row>
        <row r="69">
          <cell r="D69" t="str">
            <v>LO#2 LFM-143-20 Fundamentals of the Principle Based Approach to Statutory Reserves for Life Insurance, Jul 2019</v>
          </cell>
        </row>
        <row r="70">
          <cell r="D70" t="str">
            <v>LO#2 LFM-800-07 Chapters 8 (pp. 12-16) and 12 (pp.1-15 &amp; 32-33) of IASA Life and Accident and Health Insurance Accounting (excluding Dividends Received Deduction and Operations Loss Deduction subsections under the General Deductions section, the Special D</v>
          </cell>
        </row>
        <row r="71">
          <cell r="D71" t="str">
            <v>LO#2 What's in the "A" of AG 49-A, Financial Reporter, Feb. 2021</v>
          </cell>
        </row>
        <row r="72">
          <cell r="D72" t="str">
            <v>LO#2 LFM-822-16 Study Note on Actuarial Guidelines AG 38 &amp; 48 (exclude pages 6 to 8)</v>
          </cell>
        </row>
        <row r="73">
          <cell r="D73" t="str">
            <v>LO#2 LFM-832-17 AG49 - A Closer Look, LifeTrends, Pfeifer</v>
          </cell>
        </row>
        <row r="74">
          <cell r="D74" t="str">
            <v xml:space="preserve">LO#2 LFM-836-17 AG 49 Post Standards Update </v>
          </cell>
        </row>
        <row r="75">
          <cell r="D75" t="str">
            <v>LO#2 LFM-XXX-21: Implementation of Requirements for Principle-Based Reserves for Variable Annuities – 2021 Edition of VM-21 (required questions are listed on the first page of this study note)</v>
          </cell>
        </row>
        <row r="76">
          <cell r="D76" t="str">
            <v>LO#2 LFM-843-20 NAIC Life Insurance Illustrations Model Regulation</v>
          </cell>
        </row>
        <row r="77">
          <cell r="D77" t="str">
            <v>LO#2  LFM-844-21: Life Principle-Based Reserves Under VM-20, AAA Practice Note (required questions are listed on the first page of this study note)</v>
          </cell>
        </row>
        <row r="78">
          <cell r="D78" t="str">
            <v>LO#2 Lombardi,  Chapter 1 – Overview of Valuation Concepts (exclude 1.1-9)</v>
          </cell>
        </row>
        <row r="79">
          <cell r="D79" t="str">
            <v>LO#2 Lombardi,  Chapter 10 – Valuation Assumptions (exclude 10.1.3, 10.3.8)</v>
          </cell>
        </row>
        <row r="80">
          <cell r="D80" t="str">
            <v>LO#2 Lombardi,  Chapter 11 – Valuation Methodologies (exclude 11.3.9 to 11.3.11)</v>
          </cell>
        </row>
        <row r="81">
          <cell r="D81" t="str">
            <v xml:space="preserve">LO#2 Lombardi,  Chapter 12 – Whole Life </v>
          </cell>
        </row>
        <row r="82">
          <cell r="D82" t="str">
            <v xml:space="preserve">LO#2 Lombardi,  Chapter 13 – Term Life Insurance </v>
          </cell>
        </row>
        <row r="83">
          <cell r="D83" t="str">
            <v>LO#2 Lombardi,  Chapter 14 – Universal Life (exclude 14.4.8, 14.4.9, 14.5.0, 14.6.2-14.6.6)</v>
          </cell>
        </row>
        <row r="84">
          <cell r="D84" t="str">
            <v>LO#2 Lombardi,  Chapter 16 – Indexed Universal Life (exclude 16.4.2-3)</v>
          </cell>
        </row>
        <row r="85">
          <cell r="D85" t="str">
            <v>LO#2 Lombardi,  Chapter 18 – Fixed Deferred  Annuities (exclude 18.7.4, 18.8)</v>
          </cell>
        </row>
        <row r="86">
          <cell r="D86" t="str">
            <v>LO#2 Lombardi,  Chapter 19 – Variable Deferred Annuities</v>
          </cell>
        </row>
        <row r="87">
          <cell r="D87" t="str">
            <v>LO#2 Lombardi,  Chapter 2 – Product Classifications (2.2 only)</v>
          </cell>
        </row>
        <row r="88">
          <cell r="D88" t="str">
            <v xml:space="preserve">LO#2 Lombardi,  Chapter 20 -- Indexed Deferred Annuities </v>
          </cell>
        </row>
        <row r="89">
          <cell r="D89" t="str">
            <v xml:space="preserve">LO#2 Lombardi,  Chapter 21 – Immediate Annuities </v>
          </cell>
        </row>
        <row r="90">
          <cell r="D90" t="str">
            <v>LO#2 Lombardi,  Chapter 22 – Miscellaneous Reserves (exclude 22.3 to 22.4) </v>
          </cell>
        </row>
        <row r="91">
          <cell r="D91" t="str">
            <v>LO#2 Lombardi,  Chapter 23 – PBR for Life Products (exclude 23.1)</v>
          </cell>
        </row>
        <row r="92">
          <cell r="D92" t="str">
            <v>LO#2 Lombardi, Chapter 24 Addendum for Variable Annuity PBR Updates</v>
          </cell>
        </row>
        <row r="93">
          <cell r="D93" t="str">
            <v>LO#2 Lombardi,  Chapter 3 – NAIC Annual Statement</v>
          </cell>
        </row>
        <row r="94">
          <cell r="D94" t="str">
            <v>LO#2 Lombardi,  Chapter 4 – Standard Valuation Law</v>
          </cell>
        </row>
        <row r="95">
          <cell r="D95" t="str">
            <v>LO#2 Lombardi,  Chapter 5 – The Valuation Manual</v>
          </cell>
        </row>
        <row r="96">
          <cell r="D96" t="str">
            <v>LO#2 PBA Corner: Evolution of VM-20, Financial Reporter, June 2016</v>
          </cell>
        </row>
        <row r="97">
          <cell r="D97" t="str">
            <v>LO#2 Principle-Based Reserves Interactive Model</v>
          </cell>
        </row>
        <row r="98">
          <cell r="D98" t="str">
            <v>LO#2 Reporting and Disclosure Requirements Under  VM-31 Reporting Requirements for Business Subject to PB, Financial Reporter, Sep 2017</v>
          </cell>
        </row>
        <row r="99">
          <cell r="D99" t="str">
            <v xml:space="preserve">LO#3 Canadian Insurance Taxation, 4th Ed: Chapter 10, The Taxation of Life Insurance Policies </v>
          </cell>
        </row>
        <row r="100">
          <cell r="D100" t="str">
            <v>LO#3 Canadian Insurance Taxation, 4th Ed: Chapter 11, The Taxation of Annuites</v>
          </cell>
        </row>
        <row r="101">
          <cell r="D101" t="str">
            <v>LO#3 Canadian Insurance Taxation, 4th Ed: Chapter 24, Provincial Premium Tax,</v>
          </cell>
        </row>
        <row r="102">
          <cell r="D102" t="str">
            <v>LO#3 Canadian Insurance Taxation, 4th Ed: Chapter 3, Liability for Income Tax,</v>
          </cell>
        </row>
        <row r="103">
          <cell r="D103" t="str">
            <v>LO#3 Canadian Insurance Taxation, 4th Ed: Chapter 4, Income for Tax Purposes - General Rules,</v>
          </cell>
        </row>
        <row r="104">
          <cell r="D104" t="str">
            <v>LO#3 Canadian Insurance Taxation, 4th Ed: Chapter 5, Investment Income,</v>
          </cell>
        </row>
        <row r="105">
          <cell r="D105" t="str">
            <v>LO#3 Canadian Insurance Taxation, 4th Ed: Chapter 6, Reserves,</v>
          </cell>
        </row>
        <row r="106">
          <cell r="D106" t="str">
            <v>LO#3 Canadian Insurance Taxation, 4th Ed: Chapter 9, IIT</v>
          </cell>
        </row>
        <row r="107">
          <cell r="D107" t="str">
            <v>LO#3 CIA Educational Note: Future Income and Alternative Taxes excluding Appendix D (Dec. 2012)</v>
          </cell>
        </row>
        <row r="108">
          <cell r="D108" t="str">
            <v xml:space="preserve">LO#3 LFM-845-20 Chapters 1 and 2 of Life Insurance and Modified Endowments Under IRC §7702 and §7702A, Desrochers, 2nd Edition </v>
          </cell>
        </row>
        <row r="109">
          <cell r="D109" t="str">
            <v>LO#3 LFM-846-20 Company Tax – Introductory Study Note</v>
          </cell>
        </row>
        <row r="110">
          <cell r="D110" t="str">
            <v>LO#3 LFM-XXX-21: Changes to Section 7702 (IRC) and Nonforfeiture Interest Rates, Lewis &amp; Ellis, Jan 2021</v>
          </cell>
        </row>
        <row r="111">
          <cell r="D111" t="str">
            <v>LO#3 Rightsizing the Floor Interest Rate Rules of Sections 7702 and 7702A, Taxing Times, March 2021</v>
          </cell>
        </row>
        <row r="112">
          <cell r="D112" t="str">
            <v>LO#3 The Tax Cuts and Jobs Act of 2017— Effects on Life Insurers, American Academy of Actuaries, Oct 2020</v>
          </cell>
        </row>
        <row r="113">
          <cell r="D113" t="str">
            <v>LO#3 The Impact of BEAT on U.S.-Foreign Affiliated Reinsurance, Taxing Times, Dec 2020</v>
          </cell>
        </row>
        <row r="114">
          <cell r="D114" t="str">
            <v>LO#4 LFM-650-20 FASB in Focus - ACCOUNTING STANDARDS UPDATE NO. 2018-12 Targeted Improvements to the Accounting for Long-Duration Contracts Issued by Insurance Companies</v>
          </cell>
        </row>
        <row r="115">
          <cell r="D115" t="str">
            <v>LO#4 LFM-149-21: Insurance Contracts, PwC (Accounting Guide for Insurance Contracts), 2020, Sections 1.1 (pg 1.2), 3.5 (pp 3.20-3.30), 5.1-5.10 (pp 5.1-5.56); Figures IG 2-1 (pp 2.4-2.6), IG 2-2 (pp 2.15-2.18)</v>
          </cell>
        </row>
        <row r="116">
          <cell r="D116" t="str">
            <v>LO#4 LFM-143-20 Fundamentals of the Principle Based Approach to Statutory Reserves for Life Insurance, Rudolph</v>
          </cell>
        </row>
        <row r="117">
          <cell r="D117" t="str">
            <v>LO#4 LFM-144-20 The Modernization of Insurance Company Solvency Regulation in the US, Klein, Networks Financial Institute Policy Brief, 2012 (exclude Sections 7 and 9)</v>
          </cell>
        </row>
        <row r="118">
          <cell r="D118" t="str">
            <v>LO#4 LFM-XXX-21: Captive Insurance Companies, NAIC, Feb 2021</v>
          </cell>
        </row>
        <row r="119">
          <cell r="D119" t="str">
            <v>LO#4 LFM-645-21: OSFI Guideline – Life Insurance Capital Adequacy Test (LICAT), Oct 2018, Only Ch. 1</v>
          </cell>
        </row>
        <row r="120">
          <cell r="D120" t="str">
            <v xml:space="preserve">LO#4 IAIS—International Capital Standard, ComFrame, Holistic Framework for Systemic Risk in the Insurance Sector, Sullivan &amp; Cromwell LLP, Dec 2019, Only pages 1-3, 8-28 </v>
          </cell>
        </row>
        <row r="121">
          <cell r="D121" t="str">
            <v>LO#4 LFM-141-18 IFRS 17 Insurance Contracts – IFRS Standards Effects Analysis, May 2017, IASB (sections 1, 2, 4 &amp; 6.1-2 only)</v>
          </cell>
        </row>
        <row r="122">
          <cell r="D122" t="str">
            <v>LO#4 LFM-847-20 Life Insurance Regulatory Framework, OSFI, 2012</v>
          </cell>
        </row>
        <row r="123">
          <cell r="D123" t="str">
            <v>LO#5 CIA Educational Note: LICAT and CARLI, March 2018</v>
          </cell>
        </row>
        <row r="124">
          <cell r="D124" t="str">
            <v>LO#5 LFM-636-20 OSFI Guideline A-4 Internal Target Capital Ratio for Insurance Companies, December 2017</v>
          </cell>
        </row>
        <row r="125">
          <cell r="D125" t="str">
            <v>LO#5 LFM-641-19 OSFI: Own Risk and Solvency Assessment (E-19), December 2017</v>
          </cell>
        </row>
        <row r="126">
          <cell r="D126" t="str">
            <v>LO#5 LFM-645-21: OSFI Guideline – Life Insurance Capital Adequacy Test (LICAT), Oct 2018, Ch. 1-11 (excluding Sections 4.2-4.4 &amp; 7.3-7.11)</v>
          </cell>
        </row>
        <row r="127">
          <cell r="D127" t="str">
            <v xml:space="preserve">LO#5 IAIS—International Capital Standard, ComFrame, Holistic Framework for Systemic Risk in the Insurance Sector, Sullivan &amp; Cromwell LLP, Dec 2019, Only pages 1-3, 8-28  </v>
          </cell>
        </row>
        <row r="128">
          <cell r="D128" t="str">
            <v xml:space="preserve">LO#5 A Multi-Stakeholder Approach to Capital Adequacy, Conning Research </v>
          </cell>
        </row>
        <row r="129">
          <cell r="D129" t="str">
            <v>LO#5 Economic Capital A Case Study to Analyze Longevity Risk, Risk &amp; Rewards, Aug 2010</v>
          </cell>
        </row>
        <row r="130">
          <cell r="D130" t="str">
            <v>LO#5 Economic Capital for life Insurance Companies, SOA Research paper, Oct 2016 (exclude sections 5 and 7)</v>
          </cell>
        </row>
        <row r="131">
          <cell r="D131" t="str">
            <v>LO#5 LFM-148-20 The Theory of Risk Capital in Financial Firms</v>
          </cell>
        </row>
        <row r="132">
          <cell r="D132" t="str">
            <v>LO#5 LFM-813-13 U.S. Insurance Regulation Solvency Framework and Current Topics</v>
          </cell>
        </row>
        <row r="133">
          <cell r="D133" t="str">
            <v>LO#5 LFM-136-16: Chapter 11 of Life Insurance Products and Finance, Atkinson &amp; Dallas, pp. 499-502</v>
          </cell>
        </row>
        <row r="134">
          <cell r="D134" t="str">
            <v>LO#5 Lombardi, Chapter 29 – Risk-Based Capital, Valuation of Insurance Liabilities, 5th Ed.</v>
          </cell>
        </row>
        <row r="135">
          <cell r="D135" t="str">
            <v xml:space="preserve">LO#5 Group Capital Calculation: Public Summary, National Association of Insurance Commissioners,  Dec 2020  </v>
          </cell>
        </row>
        <row r="136">
          <cell r="D136" t="str">
            <v>LO#5 Group Capital Calculation: Pictorial, National Association of Insurance Commissioners, Dec 2020</v>
          </cell>
        </row>
        <row r="137">
          <cell r="D137" t="str">
            <v>LO#5 NAIC Own Risk and Solvency Assessment (ORSA) Guidance Manual, National Association of Insurance Commissioners, Dec 2017</v>
          </cell>
        </row>
        <row r="138">
          <cell r="D138" t="str">
            <v>LO#5 ASOP 55 – Capital Adequacy Assessment, Section 3 and Appendix 1</v>
          </cell>
        </row>
        <row r="139">
          <cell r="D139" t="str">
            <v xml:space="preserve">LO#6 CIA: Sources of Earnings: Determination and Disclosure, August 2004 </v>
          </cell>
        </row>
        <row r="140">
          <cell r="D140" t="str">
            <v>LO#6 LFM-603-13 OSFI Guideline D-9-Source of Earnings Disclosure (Life Insurance Companies)</v>
          </cell>
        </row>
        <row r="141">
          <cell r="D141" t="str">
            <v xml:space="preserve">LO#6 LFM-137-16 EVARAROC vs. MCEV Earnings - A Unification Approach, Kraus 2011 </v>
          </cell>
        </row>
        <row r="142">
          <cell r="D142" t="str">
            <v>LO#6 LFM-106-07 Insurance Inductry Mergers and Acquisitions, Chapter 4 (Sections 4.1-4.6)</v>
          </cell>
        </row>
        <row r="143">
          <cell r="D143" t="str">
            <v xml:space="preserve">LO#6 Embedded Value: Practice and Theory, SOA, Actuarial Practice Forum, March 2009 </v>
          </cell>
        </row>
        <row r="144">
          <cell r="D144" t="str">
            <v xml:space="preserve">LO#6 LFM-138-16 Prudential Financial - Stockholder's Equity and Operating Leverage, HBR, 2008  </v>
          </cell>
        </row>
        <row r="145">
          <cell r="D145" t="str">
            <v>LO#6 LFM-154-21 Introduction to Source of Earnings Analysis (excluding Appendices)</v>
          </cell>
        </row>
        <row r="146">
          <cell r="D146" t="str">
            <v>LO#6 LFM-147-20 A.M. Best’s - Compendium of Publications</v>
          </cell>
        </row>
        <row r="147">
          <cell r="D147" t="str">
            <v>LO#6 LFM-XXX-21: Sarbanes-Oxley Section 404: A Toolkit for Management and Auditors</v>
          </cell>
        </row>
        <row r="148">
          <cell r="D148" t="str">
            <v>LO#6 LFM-XXX-21: Captive Insurance Companies, NAIC, Feb 2021</v>
          </cell>
        </row>
        <row r="149">
          <cell r="D149" t="str">
            <v>LO#6 Chapter 19 – Variable Deferred Annuities, Lombardi, Valuation of Insurance Liabilities, 5th Ed., Section 19.4</v>
          </cell>
        </row>
        <row r="150">
          <cell r="D150" t="str">
            <v>LO#6 Model Audit Rule, American Academy of Actuaries Practice Note, 2010</v>
          </cell>
        </row>
        <row r="151">
          <cell r="D151" t="str">
            <v>LO#6 Understanding VM-20 Results, SoA and Milliman, 2017, Excluding Section 4</v>
          </cell>
        </row>
        <row r="159">
          <cell r="C159" t="str">
            <v>Retrieval</v>
          </cell>
        </row>
        <row r="160">
          <cell r="C160" t="str">
            <v>Comprehension</v>
          </cell>
        </row>
        <row r="161">
          <cell r="C161" t="str">
            <v>Analysis</v>
          </cell>
        </row>
        <row r="162">
          <cell r="C162" t="str">
            <v>Knowledge Utilization</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yllabus list"/>
      <sheetName val="Qxt"/>
      <sheetName val="Solution"/>
    </sheetNames>
    <sheetDataSet>
      <sheetData sheetId="0" refreshError="1"/>
      <sheetData sheetId="1">
        <row r="4">
          <cell r="D4" t="str">
            <v>LO#1 CIA Report: Lapse Experience Study for 10-year Term Insurance, Jan 2014, pp. 6 -32</v>
          </cell>
        </row>
        <row r="5">
          <cell r="D5" t="str">
            <v>LO#1 CIA Research Paper: Lapse Experience under UL Level COI Policies, Sep 2015, pp. 4 - 8</v>
          </cell>
        </row>
        <row r="6">
          <cell r="D6" t="str">
            <v>LO#1 CIA Educational note, Currency Risk in the Valuation of Policy Liabilities for Life and Health Insurers, December 2009</v>
          </cell>
        </row>
        <row r="7">
          <cell r="D7" t="str">
            <v>LO#1 CIA Educational Note, Development of the Equilibrium Risk-Free Market Curve for the Base Scenario, December 2015</v>
          </cell>
        </row>
        <row r="8">
          <cell r="D8" t="str">
            <v xml:space="preserve">LO#1 CIA Educational Note: Approximations to the Canadian Asset Liability Method (CALM): November 2006 </v>
          </cell>
        </row>
        <row r="9">
          <cell r="D9" t="str">
            <v xml:space="preserve">LO#1 CIA Educational Note: Best Estimates Assumptions for Expenses – November 2006 </v>
          </cell>
        </row>
        <row r="10">
          <cell r="D10" t="str">
            <v>LO#1 CIA Educational Note: CALM Implications of AcSB Section 3855 Financial Instruments - Recognition and Measurement (June 2006)</v>
          </cell>
        </row>
        <row r="11">
          <cell r="D11" t="str">
            <v>LO#1 CIA Educational Note: Dividend Determination for Participating Policies, Jan 2014</v>
          </cell>
        </row>
        <row r="12">
          <cell r="D12" t="str">
            <v>LO#1 CIA Educational Note: Expected Mortality: Fully Underwritten Canadian Individual Life Insurance Policies: July 2002 (exclude appendices)</v>
          </cell>
        </row>
        <row r="13">
          <cell r="D13" t="str">
            <v>LO#1 CIA Educational Note: Guidance on Fairness Opinions Required Under the Insurance Companies Act Pursuant to Bill C-57 (2005) Dec 2011</v>
          </cell>
        </row>
        <row r="14">
          <cell r="D14" t="str">
            <v>LO#1 CIA Educational Note: Investment Assumptions Used in the Valuation of Life and Health Insurance Contract Liabilities Sep.2015</v>
          </cell>
        </row>
        <row r="15">
          <cell r="D15" t="str">
            <v>LO#1 CIA Educational Note: Margins for Adverse Deviations (Mfad) – November 2006</v>
          </cell>
        </row>
        <row r="16">
          <cell r="D16" t="str">
            <v xml:space="preserve">LO#1 CIA Educational Note: Reflection of Hedging in Segregated Fund Valuation – May 2012 </v>
          </cell>
        </row>
        <row r="17">
          <cell r="D17" t="str">
            <v>LO#1 CIA Educational Note: Selective Lapsation for Renewable Term Insurance Products, February 2017</v>
          </cell>
        </row>
        <row r="18">
          <cell r="D18" t="str">
            <v xml:space="preserve">LO#1 CIA Educational Note: Valuation of Gross Policy Liabilities and Reinsurance Recoverables (December 2010) </v>
          </cell>
        </row>
        <row r="19">
          <cell r="D19" t="str">
            <v>LO#1 CIA Educational Note: Valuation of Universal Life Policy Liabilities - February 2012</v>
          </cell>
        </row>
        <row r="20">
          <cell r="D20" t="str">
            <v>LO#1 CIA Final Communication of a Promulgation of Prescribed Mortality Improvement Rates (July 2017)</v>
          </cell>
        </row>
        <row r="21">
          <cell r="D21" t="str">
            <v>LO#1 CIA Draft Report: Task Force on Mortality Improvement, April 2017</v>
          </cell>
        </row>
        <row r="22">
          <cell r="D22" t="str">
            <v>LO#1 CIA Research Paper: Calibration of Fixed-Income Returns Segregated Fund Liability April 2014</v>
          </cell>
        </row>
        <row r="23">
          <cell r="D23" t="str">
            <v xml:space="preserve">LO#1 CIA Use of Actuarial Judgment in Setting Assumptions and Margins for Adverse Deviations, November 2006 </v>
          </cell>
        </row>
        <row r="24">
          <cell r="D24" t="str">
            <v xml:space="preserve">LO#1 CIA Educational Note: Valuation of Segregated Fund Investment Guarantees (October 2005) </v>
          </cell>
        </row>
        <row r="25">
          <cell r="D25" t="str">
            <v>LO#1 CIA Education Note: Investment Returns for non-fixed-income returns for Assets, March 2011</v>
          </cell>
        </row>
        <row r="26">
          <cell r="D26" t="str">
            <v>LO#1 Final Communication of Promulgations of the Maximum Net Credit Spread, Ultimate Reinvestment Rates and Calibration Criteria for Stochastic Risk-Free Interest Rates in the Standards of Practice, May 2014 - Section 2 Only</v>
          </cell>
        </row>
        <row r="27">
          <cell r="D27" t="str">
            <v>LO#1 Final Communication of Updated Promulgations of the Ultimate Reinvestment Rates and Calibration Criteria for Stochastic Risk-Free Interest Rates in the Standards of Practice, July 2019</v>
          </cell>
        </row>
        <row r="28">
          <cell r="D28" t="str">
            <v>LO#1 LFM-618-13 OSFI Guideline D-10: Accounting for Financial Instruments Designated as Fair Value Option</v>
          </cell>
        </row>
        <row r="29">
          <cell r="D29" t="str">
            <v>LO#1 LFM-620-14 OSFI Guideline E15: Appointed Actuary -  Legal Requirements, Qualification and External Review (Sep 2012)</v>
          </cell>
        </row>
        <row r="30">
          <cell r="D30" t="str">
            <v>LO#1 LFM-632-12 OSFI B-3 Sound Reinsurance Practices and Procedures</v>
          </cell>
        </row>
        <row r="31">
          <cell r="D31" t="str">
            <v>LO#1 LFM-634-19 CIA Standards of Practice: Insurance  Sections 2100, 2300, 2400, 2500 &amp; 2700,  Dec 2019</v>
          </cell>
        </row>
        <row r="32">
          <cell r="D32" t="str">
            <v>LO#1 LFM-635-13 Participating Account Management and Disclosure to Participating Policyholders and Adjustable Policyholders</v>
          </cell>
        </row>
        <row r="33">
          <cell r="D33" t="str">
            <v>LO#1 LFM-637-13 OSFI Letter evidence for Mean Reversion in Equity Prices</v>
          </cell>
        </row>
        <row r="34">
          <cell r="D34" t="str">
            <v>LO#1 LFM-652-20 Canadian Life and Health Insurance Guidelines (CLHIA) - Guideline G-6 - Illustrations</v>
          </cell>
        </row>
        <row r="35">
          <cell r="D35" t="str">
            <v>LO#1 CIA Report: Report of the Task Force on Segregated Fund Liability and Capital Methodologies (Aug 2010)</v>
          </cell>
        </row>
        <row r="36">
          <cell r="D36" t="str">
            <v>LO#1 CIA Educational Note: Considerations in the Valuation of Segregated Fund Products, Nov 2007</v>
          </cell>
        </row>
        <row r="37">
          <cell r="D37" t="str">
            <v>LO#1 LFMU GAAP Materials Flowchart</v>
          </cell>
        </row>
        <row r="38">
          <cell r="D38" t="str">
            <v>LO#1    Chapter  3:    US GAAP - Expenses and Capitalization (exclude 3.7.1, 3.7.3, 3.11.4.5, and 3.12)</v>
          </cell>
        </row>
        <row r="39">
          <cell r="D39" t="str">
            <v>LO#1    Chapter  4:    US GAAP - Traditional Life Insurance (SFAS 60 &amp; 97) (exclude 4.4 to 4.14)</v>
          </cell>
        </row>
        <row r="40">
          <cell r="D40" t="str">
            <v>LO#1    Chapter  6:    US GAAP - Universal Life Insurance (exclude 6.7 to 6.7.1.6, 6.7.3 to 6.7.6.3, 6.10 to 6.13.2)</v>
          </cell>
        </row>
        <row r="41">
          <cell r="D41" t="str">
            <v>LO#1    Chapter  7:    US GAAP - Deferred Annuities (exclude 7.4.1d, 7.6, 7.8, 7.10, 7.11, 7.13)</v>
          </cell>
        </row>
        <row r="42">
          <cell r="D42" t="str">
            <v>LO#1    Chapter  9:    US GAAP - Annuities in Payment Status (exclude section 9.5)</v>
          </cell>
        </row>
        <row r="43">
          <cell r="D43" t="str">
            <v>LO#1    Chapter 13:   US GAAP - Investment Accounting (exclude 13.7 and 13.12))</v>
          </cell>
        </row>
        <row r="44">
          <cell r="D44" t="str">
            <v>LO#1    Chapter 15:   US GAAP - Accounting for Business Combinations (exclude 15.7.3 to 15.7.8, and 15.10.5 to 15.15)</v>
          </cell>
        </row>
        <row r="45">
          <cell r="D45" t="str">
            <v>LO#1    Chapter 18:   US GAAP - Other Topics: Deferred Taxes and Fair Value Reporting (exclude 18.2, 18.4, and 18.6)</v>
          </cell>
        </row>
        <row r="46">
          <cell r="D46" t="str">
            <v>LO#1 LFM-XXX-21: A Comprehensive Guide – Reinsurance, E&amp;Y, 2020, (Sections 1, 2, 4, 7, Appendix D)</v>
          </cell>
        </row>
        <row r="47">
          <cell r="D47" t="str">
            <v>LO#1 LFM-149-21: Insurance Contracts, PwC (Accounting Guide for Insurance Contracts), 2020, Sections 1.1 -1.3 (pp 1.2-1.9), 2.1-2.5 (pp 2.2-2.21) 3.1-3.9 (pp 3.2-3.48), 5.1-5.10 (pp 5.2-5.56), and Figures IG 2-1 (pp 2.4-2.6) &amp; IG 2-2 (pp 2.15-2.18)</v>
          </cell>
        </row>
        <row r="48">
          <cell r="D48" t="str">
            <v>LO#1 Implementation Considerations For VA Market Risk Benefits, Financial Reporter, Sep 2019 </v>
          </cell>
        </row>
        <row r="49">
          <cell r="D49" t="str">
            <v>LO#1 LFM-840-20 A Comprehensive Guide - Derivatives and Hedging, E&amp;Y, 2019, (Sections 1.1-1.7, 3.1-3.3, 4.1-4.3, 9.1-9.5, Appendices A and C1.1-4)</v>
          </cell>
        </row>
        <row r="50">
          <cell r="D50" t="str">
            <v>LO#1 LFM-841-20 A Closer Look at How Insurers Will Have to Change their Accounting and Disclosures for Long-Duration Contracts, E&amp;Y, Nov 2018</v>
          </cell>
        </row>
        <row r="51">
          <cell r="D51" t="str">
            <v>LO#1 Targeted Improvements Interactive Model</v>
          </cell>
        </row>
        <row r="52">
          <cell r="D52" t="str">
            <v>LO#2 CIA Educational Note: Comparison of IFRS 17 to Current CIA Standard of Practice, Sept 2018</v>
          </cell>
        </row>
        <row r="53">
          <cell r="D53" t="str">
            <v>LO#2 CIA Educational Note: IFRS 17 Estimates of Future Cash Flows for Life and Health Insurance Contracts, Sep 2019</v>
          </cell>
        </row>
        <row r="54">
          <cell r="D54" t="str">
            <v>LO#2 CIA Educational Note: IFRS 17 Risk Adjustment for Non-Financial Risk for Life and Health Insurance Contracts, Jul 2019</v>
          </cell>
        </row>
        <row r="55">
          <cell r="D55" t="str">
            <v>LO#2 CIA Educational Note: Transition from CALM to IFRS 17 Valuation of Canadian Participating Insurance Contracts, Mar 2019</v>
          </cell>
        </row>
        <row r="56">
          <cell r="D56" t="str">
            <v>LO#2 CIA Educational Note: IFRS 17 Discount Rates for Life and Health Insurance Contracts, Jun 2020</v>
          </cell>
        </row>
        <row r="57">
          <cell r="D57" t="str">
            <v>LO#2 CIA Educational Note: IFRS 17 Coverage Units for Life and Health Insurance Contracts, Dec 2019</v>
          </cell>
        </row>
        <row r="58">
          <cell r="D58" t="str">
            <v>LO#2 CIA Educational Note: IFRS 17 Market Consistent Valuation of Financial Guarantees for Life and Health Insurance Contracts, May 2020</v>
          </cell>
        </row>
        <row r="59">
          <cell r="D59" t="str">
            <v>LO#2 CIA Educational Note: IFRS 17 Measurement and Presentation of Canadian Participating Insurance Contracts, Apr 2021</v>
          </cell>
        </row>
        <row r="60">
          <cell r="D60" t="str">
            <v>LO#2 IFRS 17 Insurance Contracts Example (Spreadsheet Model)</v>
          </cell>
        </row>
        <row r="61">
          <cell r="D61" t="str">
            <v>LO#2 LFM-141-18 IFRS 17 Insurance Contracts – IFRS Standards Effects Analysis, May 2017, IASB (sections 1, 2, 4 &amp; 6.1-2 only)</v>
          </cell>
        </row>
        <row r="62">
          <cell r="D62" t="str">
            <v>LO#2 LFM-655-21: IFRS Standards Exposure Draft Amendments to IFRS 17, Jun 2019</v>
          </cell>
        </row>
        <row r="63">
          <cell r="D63" t="str">
            <v>LO#2 LFM-656-21: PwC In transition: The latest on IFRS 17 implementation, Feb 2020</v>
          </cell>
        </row>
        <row r="64">
          <cell r="D64" t="str">
            <v>LO#2  LFM-649-20: International Actuarial Note 100: Application of IFRS 17 (excluding section C chapter 11 and section D )</v>
          </cell>
        </row>
        <row r="65">
          <cell r="D65" t="str">
            <v>LO#2 LFM-XXX-21: The IFRS 17 Contractual Service Margin: A Life Insurance Perspective (Sections 1-4.7 &amp; 5)</v>
          </cell>
        </row>
        <row r="66">
          <cell r="D66" t="str">
            <v>LO#2 LFMU PBR Materials Flowchart, 2020</v>
          </cell>
        </row>
        <row r="67">
          <cell r="D67" t="str">
            <v>LO#2 ASOP 52 - Principle-Based Reserves for Life Products under the NAIC Valuation Manual on PBR for Life Products, Section 3</v>
          </cell>
        </row>
        <row r="68">
          <cell r="D68" t="str">
            <v>LO#2 Impacts of AG 48, Financial Reporter, Dec 2015</v>
          </cell>
        </row>
        <row r="69">
          <cell r="D69" t="str">
            <v>LO#2 LFM-143-20 Fundamentals of the Principle Based Approach to Statutory Reserves for Life Insurance, Jul 2019</v>
          </cell>
        </row>
        <row r="70">
          <cell r="D70" t="str">
            <v>LO#2 LFM-800-07 Chapters 8 (pp. 12-16) and 12 (pp.1-15 &amp; 32-33) of IASA Life and Accident and Health Insurance Accounting (excluding Dividends Received Deduction and Operations Loss Deduction subsections under the General Deductions section, the Special Deduction – Small Life Insurance Company Deduction section, and Dividends Received Deduction subsection under the Investment Accounting Rules section)</v>
          </cell>
        </row>
        <row r="71">
          <cell r="D71" t="str">
            <v>LO#2 What's in the "A" of AG 49-A, Financial Reporter, Feb. 2021</v>
          </cell>
        </row>
        <row r="72">
          <cell r="D72" t="str">
            <v>LO#2 LFM-822-16 Study Note on Actuarial Guidelines AG 38 &amp; 48 (exclude pages 6 to 8)</v>
          </cell>
        </row>
        <row r="73">
          <cell r="D73" t="str">
            <v>LO#2 LFM-832-17 AG49 - A Closer Look, LifeTrends, Pfeifer</v>
          </cell>
        </row>
        <row r="74">
          <cell r="D74" t="str">
            <v xml:space="preserve">LO#2 LFM-836-17 AG 49 Post Standards Update </v>
          </cell>
        </row>
        <row r="75">
          <cell r="D75" t="str">
            <v>LO#2 LFM-XXX-21: Implementation of Requirements for Principle-Based Reserves for Variable Annuities – 2021 Edition of VM-21 (required questions are listed on the first page of this study note)</v>
          </cell>
        </row>
        <row r="76">
          <cell r="D76" t="str">
            <v>LO#2 LFM-843-20 NAIC Life Insurance Illustrations Model Regulation</v>
          </cell>
        </row>
        <row r="77">
          <cell r="D77" t="str">
            <v>LO#2  LFM-844-21: Life Principle-Based Reserves Under VM-20, AAA Practice Note (required questions are listed on the first page of this study note)</v>
          </cell>
        </row>
        <row r="78">
          <cell r="D78" t="str">
            <v>LO#2 Lombardi,  Chapter 1 – Overview of Valuation Concepts (exclude 1.1-9)</v>
          </cell>
        </row>
        <row r="79">
          <cell r="D79" t="str">
            <v>LO#2 Lombardi,  Chapter 10 – Valuation Assumptions (exclude 10.1.3, 10.3.8)</v>
          </cell>
        </row>
        <row r="80">
          <cell r="D80" t="str">
            <v>LO#2 Lombardi,  Chapter 11 – Valuation Methodologies (exclude 11.3.9 to 11.3.11)</v>
          </cell>
        </row>
        <row r="81">
          <cell r="D81" t="str">
            <v xml:space="preserve">LO#2 Lombardi,  Chapter 12 – Whole Life </v>
          </cell>
        </row>
        <row r="82">
          <cell r="D82" t="str">
            <v xml:space="preserve">LO#2 Lombardi,  Chapter 13 – Term Life Insurance </v>
          </cell>
        </row>
        <row r="83">
          <cell r="D83" t="str">
            <v>LO#2 Lombardi,  Chapter 14 – Universal Life (exclude 14.4.8, 14.4.9, 14.5.0, 14.6.2-14.6.6)</v>
          </cell>
        </row>
        <row r="84">
          <cell r="D84" t="str">
            <v>LO#2 Lombardi,  Chapter 16 – Indexed Universal Life (exclude 16.4.2-3)</v>
          </cell>
        </row>
        <row r="85">
          <cell r="D85" t="str">
            <v>LO#2 Lombardi,  Chapter 18 – Fixed Deferred  Annuities (exclude 18.7.4, 18.8)</v>
          </cell>
        </row>
        <row r="86">
          <cell r="D86" t="str">
            <v>LO#2 Lombardi,  Chapter 19 – Variable Deferred Annuities</v>
          </cell>
        </row>
        <row r="87">
          <cell r="D87" t="str">
            <v>LO#2 Lombardi,  Chapter 2 – Product Classifications (2.2 only)</v>
          </cell>
        </row>
        <row r="88">
          <cell r="D88" t="str">
            <v xml:space="preserve">LO#2 Lombardi,  Chapter 20 -- Indexed Deferred Annuities </v>
          </cell>
        </row>
        <row r="89">
          <cell r="D89" t="str">
            <v xml:space="preserve">LO#2 Lombardi,  Chapter 21 – Immediate Annuities </v>
          </cell>
        </row>
        <row r="90">
          <cell r="D90" t="str">
            <v>LO#2 Lombardi,  Chapter 22 – Miscellaneous Reserves (exclude 22.3 to 22.4) </v>
          </cell>
        </row>
        <row r="91">
          <cell r="D91" t="str">
            <v>LO#2 Lombardi,  Chapter 23 – PBR for Life Products (exclude 23.1)</v>
          </cell>
        </row>
        <row r="92">
          <cell r="D92" t="str">
            <v>LO#2 Lombardi, Chapter 24 Addendum for Variable Annuity PBR Updates</v>
          </cell>
        </row>
        <row r="93">
          <cell r="D93" t="str">
            <v>LO#2 Lombardi,  Chapter 3 – NAIC Annual Statement</v>
          </cell>
        </row>
        <row r="94">
          <cell r="D94" t="str">
            <v>LO#2 Lombardi,  Chapter 4 – Standard Valuation Law</v>
          </cell>
        </row>
        <row r="95">
          <cell r="D95" t="str">
            <v>LO#2 Lombardi,  Chapter 5 – The Valuation Manual</v>
          </cell>
        </row>
        <row r="96">
          <cell r="D96" t="str">
            <v>LO#2 PBA Corner: Evolution of VM-20, Financial Reporter, June 2016</v>
          </cell>
        </row>
        <row r="97">
          <cell r="D97" t="str">
            <v>LO#2 Principle-Based Reserves Interactive Model</v>
          </cell>
        </row>
        <row r="98">
          <cell r="D98" t="str">
            <v>LO#2 Reporting and Disclosure Requirements Under  VM-31 Reporting Requirements for Business Subject to PB, Financial Reporter, Sep 2017</v>
          </cell>
        </row>
        <row r="99">
          <cell r="D99" t="str">
            <v xml:space="preserve">LO#3 Canadian Insurance Taxation, 4th Ed: Chapter 10, The Taxation of Life Insurance Policies </v>
          </cell>
        </row>
        <row r="100">
          <cell r="D100" t="str">
            <v>LO#3 Canadian Insurance Taxation, 4th Ed: Chapter 11, The Taxation of Annuites</v>
          </cell>
        </row>
        <row r="101">
          <cell r="D101" t="str">
            <v>LO#3 Canadian Insurance Taxation, 4th Ed: Chapter 24, Provincial Premium Tax,</v>
          </cell>
        </row>
        <row r="102">
          <cell r="D102" t="str">
            <v>LO#3 Canadian Insurance Taxation, 4th Ed: Chapter 3, Liability for Income Tax,</v>
          </cell>
        </row>
        <row r="103">
          <cell r="D103" t="str">
            <v>LO#3 Canadian Insurance Taxation, 4th Ed: Chapter 4, Income for Tax Purposes - General Rules,</v>
          </cell>
        </row>
        <row r="104">
          <cell r="D104" t="str">
            <v>LO#3 Canadian Insurance Taxation, 4th Ed: Chapter 5, Investment Income,</v>
          </cell>
        </row>
        <row r="105">
          <cell r="D105" t="str">
            <v>LO#3 Canadian Insurance Taxation, 4th Ed: Chapter 6, Reserves,</v>
          </cell>
        </row>
        <row r="106">
          <cell r="D106" t="str">
            <v>LO#3 Canadian Insurance Taxation, 4th Ed: Chapter 9, IIT</v>
          </cell>
        </row>
        <row r="107">
          <cell r="D107" t="str">
            <v>LO#3 CIA Educational Note: Future Income and Alternative Taxes excluding Appendix D (Dec. 2012)</v>
          </cell>
        </row>
        <row r="108">
          <cell r="D108" t="str">
            <v xml:space="preserve">LO#3 LFM-845-20 Chapters 1 and 2 of Life Insurance and Modified Endowments Under IRC §7702 and §7702A, Desrochers, 2nd Edition </v>
          </cell>
        </row>
        <row r="109">
          <cell r="D109" t="str">
            <v>LO#3 LFM-846-20 Company Tax – Introductory Study Note</v>
          </cell>
        </row>
        <row r="110">
          <cell r="D110" t="str">
            <v>LO#3 LFM-XXX-21: Changes to Section 7702 (IRC) and Nonforfeiture Interest Rates, Lewis &amp; Ellis, Jan 2021</v>
          </cell>
        </row>
        <row r="111">
          <cell r="D111" t="str">
            <v>LO#3 Rightsizing the Floor Interest Rate Rules of Sections 7702 and 7702A, Taxing Times, March 2021</v>
          </cell>
        </row>
        <row r="112">
          <cell r="D112" t="str">
            <v>LO#3 The Tax Cuts and Jobs Act of 2017— Effects on Life Insurers, American Academy of Actuaries, Oct 2020</v>
          </cell>
        </row>
        <row r="113">
          <cell r="D113" t="str">
            <v>LO#3 The Impact of BEAT on U.S.-Foreign Affiliated Reinsurance, Taxing Times, Dec 2020</v>
          </cell>
        </row>
        <row r="114">
          <cell r="D114" t="str">
            <v>LO#4 LFM-650-20 FASB in Focus - ACCOUNTING STANDARDS UPDATE NO. 2018-12 Targeted Improvements to the Accounting for Long-Duration Contracts Issued by Insurance Companies</v>
          </cell>
        </row>
        <row r="115">
          <cell r="D115" t="str">
            <v>LO#4 LFM-149-21: Insurance Contracts, PwC (Accounting Guide for Insurance Contracts), 2020, Sections 1.1 (pg 1.2), 3.5 (pp 3.20-3.30), 5.1-5.10 (pp 5.1-5.56); Figures IG 2-1 (pp 2.4-2.6), IG 2-2 (pp 2.15-2.18)</v>
          </cell>
        </row>
        <row r="116">
          <cell r="D116" t="str">
            <v>LO#4 LFM-143-20 Fundamentals of the Principle Based Approach to Statutory Reserves for Life Insurance, Rudolph</v>
          </cell>
        </row>
        <row r="117">
          <cell r="D117" t="str">
            <v>LO#4 LFM-144-20 The Modernization of Insurance Company Solvency Regulation in the US, Klein, Networks Financial Institute Policy Brief, 2012 (exclude Sections 7 and 9)</v>
          </cell>
        </row>
        <row r="118">
          <cell r="D118" t="str">
            <v>LO#4 LFM-XXX-21: Captive Insurance Companies, NAIC, Feb 2021</v>
          </cell>
        </row>
        <row r="119">
          <cell r="D119" t="str">
            <v>LO#4 LFM-645-21: OSFI Guideline – Life Insurance Capital Adequacy Test (LICAT), Oct 2018, Only Ch. 1</v>
          </cell>
        </row>
        <row r="120">
          <cell r="D120" t="str">
            <v xml:space="preserve">LO#4 IAIS—International Capital Standard, ComFrame, Holistic Framework for Systemic Risk in the Insurance Sector, Sullivan &amp; Cromwell LLP, Dec 2019, Only pages 1-3, 8-28 </v>
          </cell>
        </row>
        <row r="121">
          <cell r="D121" t="str">
            <v>LO#4 LFM-141-18 IFRS 17 Insurance Contracts – IFRS Standards Effects Analysis, May 2017, IASB (sections 1, 2, 4 &amp; 6.1-2 only)</v>
          </cell>
        </row>
        <row r="122">
          <cell r="D122" t="str">
            <v>LO#4 LFM-847-20 Life Insurance Regulatory Framework, OSFI, 2012</v>
          </cell>
        </row>
        <row r="123">
          <cell r="D123" t="str">
            <v>LO#5 CIA Educational Note: LICAT and CARLI, March 2018</v>
          </cell>
        </row>
        <row r="124">
          <cell r="D124" t="str">
            <v>LO#5 LFM-636-20 OSFI Guideline A-4 Internal Target Capital Ratio for Insurance Companies, December 2017</v>
          </cell>
        </row>
        <row r="125">
          <cell r="D125" t="str">
            <v>LO#5 LFM-641-19 OSFI: Own Risk and Solvency Assessment (E-19), December 2017</v>
          </cell>
        </row>
        <row r="126">
          <cell r="D126" t="str">
            <v>LO#5 LFM-645-21: OSFI Guideline – Life Insurance Capital Adequacy Test (LICAT), Oct 2018, Ch. 1-11 (excluding Sections 4.2-4.4 &amp; 7.3-7.11)</v>
          </cell>
        </row>
        <row r="127">
          <cell r="D127" t="str">
            <v xml:space="preserve">LO#5 IAIS—International Capital Standard, ComFrame, Holistic Framework for Systemic Risk in the Insurance Sector, Sullivan &amp; Cromwell LLP, Dec 2019, Only pages 1-3, 8-28  </v>
          </cell>
        </row>
        <row r="128">
          <cell r="D128" t="str">
            <v xml:space="preserve">LO#5 A Multi-Stakeholder Approach to Capital Adequacy, Conning Research </v>
          </cell>
        </row>
        <row r="129">
          <cell r="D129" t="str">
            <v>LO#5 Economic Capital A Case Study to Analyze Longevity Risk, Risk &amp; Rewards, Aug 2010</v>
          </cell>
        </row>
        <row r="130">
          <cell r="D130" t="str">
            <v>LO#5 Economic Capital for life Insurance Companies, SOA Research paper, Oct 2016 (exclude sections 5 and 7)</v>
          </cell>
        </row>
        <row r="131">
          <cell r="D131" t="str">
            <v>LO#5 LFM-148-20 The Theory of Risk Capital in Financial Firms</v>
          </cell>
        </row>
        <row r="132">
          <cell r="D132" t="str">
            <v>LO#5 LFM-813-13 U.S. Insurance Regulation Solvency Framework and Current Topics</v>
          </cell>
        </row>
        <row r="133">
          <cell r="D133" t="str">
            <v>LO#5 LFM-136-16: Chapter 11 of Life Insurance Products and Finance, Atkinson &amp; Dallas, pp. 499-502</v>
          </cell>
        </row>
        <row r="134">
          <cell r="D134" t="str">
            <v>LO#5 Lombardi, Chapter 29 – Risk-Based Capital, Valuation of Insurance Liabilities, 5th Ed.</v>
          </cell>
        </row>
        <row r="135">
          <cell r="D135" t="str">
            <v xml:space="preserve">LO#5 Group Capital Calculation: Public Summary, National Association of Insurance Commissioners,  Dec 2020  </v>
          </cell>
        </row>
        <row r="136">
          <cell r="D136" t="str">
            <v>LO#5 Group Capital Calculation: Pictorial, National Association of Insurance Commissioners, Dec 2020</v>
          </cell>
        </row>
        <row r="137">
          <cell r="D137" t="str">
            <v>LO#5 NAIC Own Risk and Solvency Assessment (ORSA) Guidance Manual, National Association of Insurance Commissioners, Dec 2017</v>
          </cell>
        </row>
        <row r="138">
          <cell r="D138" t="str">
            <v>LO#5 ASOP 55 – Capital Adequacy Assessment, Section 3 and Appendix 1</v>
          </cell>
        </row>
        <row r="139">
          <cell r="D139" t="str">
            <v xml:space="preserve">LO#6 CIA: Sources of Earnings: Determination and Disclosure, August 2004 </v>
          </cell>
        </row>
        <row r="140">
          <cell r="D140" t="str">
            <v>LO#6 LFM-603-13 OSFI Guideline D-9-Source of Earnings Disclosure (Life Insurance Companies)</v>
          </cell>
        </row>
        <row r="141">
          <cell r="D141" t="str">
            <v xml:space="preserve">LO#6 LFM-137-16 EVARAROC vs. MCEV Earnings - A Unification Approach, Kraus 2011 </v>
          </cell>
        </row>
        <row r="142">
          <cell r="D142" t="str">
            <v>LO#6 LFM-106-07 Insurance Inductry Mergers and Acquisitions, Chapter 4 (Sections 4.1-4.6)</v>
          </cell>
        </row>
        <row r="143">
          <cell r="D143" t="str">
            <v xml:space="preserve">LO#6 Embedded Value: Practice and Theory, SOA, Actuarial Practice Forum, March 2009 </v>
          </cell>
        </row>
        <row r="144">
          <cell r="D144" t="str">
            <v xml:space="preserve">LO#6 LFM-138-16 Prudential Financial - Stockholder's Equity and Operating Leverage, HBR, 2008  </v>
          </cell>
        </row>
        <row r="145">
          <cell r="D145" t="str">
            <v>LO#6 LFM-154-21 Introduction to Source of Earnings Analysis (excluding Appendices)</v>
          </cell>
        </row>
        <row r="146">
          <cell r="D146" t="str">
            <v>LO#6 LFM-147-20 A.M. Best’s - Compendium of Publications</v>
          </cell>
        </row>
        <row r="147">
          <cell r="D147" t="str">
            <v>LO#6 LFM-XXX-21: Sarbanes-Oxley Section 404: A Toolkit for Management and Auditors</v>
          </cell>
        </row>
        <row r="148">
          <cell r="D148" t="str">
            <v>LO#6 LFM-XXX-21: Captive Insurance Companies, NAIC, Feb 2021</v>
          </cell>
        </row>
        <row r="149">
          <cell r="D149" t="str">
            <v>LO#6 Chapter 19 – Variable Deferred Annuities, Lombardi, Valuation of Insurance Liabilities, 5th Ed., Section 19.4</v>
          </cell>
        </row>
        <row r="150">
          <cell r="D150" t="str">
            <v>LO#6 Model Audit Rule, American Academy of Actuaries Practice Note, 2010</v>
          </cell>
        </row>
        <row r="151">
          <cell r="D151" t="str">
            <v>LO#6 Understanding VM-20 Results, SoA and Milliman, 2017, Excluding Section 4</v>
          </cell>
        </row>
        <row r="159">
          <cell r="C159" t="str">
            <v>Retrieval</v>
          </cell>
        </row>
        <row r="160">
          <cell r="C160" t="str">
            <v>Comprehension</v>
          </cell>
        </row>
        <row r="161">
          <cell r="C161" t="str">
            <v>Analysis</v>
          </cell>
        </row>
        <row r="162">
          <cell r="C162" t="str">
            <v>Knowledge Utilization</v>
          </cell>
        </row>
      </sheetData>
      <sheetData sheetId="2"/>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yllabus list"/>
      <sheetName val="Fall-Spring Split"/>
      <sheetName val="Q1 (SG-03)"/>
      <sheetName val="Q1 (SG-03 Calculation)"/>
      <sheetName val="Q2 (SG-02)"/>
      <sheetName val="Q2 (SG-02 part (a) calculation)"/>
      <sheetName val="Q3 (JB-01)"/>
      <sheetName val="Q3 (JB-01 Part C calculation)"/>
      <sheetName val="Q4 (AB-01)"/>
      <sheetName val="Q4 (AB-01 Calculation)"/>
      <sheetName val="Q5 (SX-02)"/>
      <sheetName val="Q5 (SX-02 (b))"/>
      <sheetName val="Q6 (TL-01)"/>
      <sheetName val="Q6 (TL-01 calculation)"/>
      <sheetName val="Q7 (RR-02)"/>
      <sheetName val="Q8 (JZL-01)"/>
      <sheetName val="Q8 (JZL-01 Calc)"/>
      <sheetName val="Q9 (JY-01)"/>
      <sheetName val="Q9 (JY-01 Calculation)"/>
    </sheetNames>
    <sheetDataSet>
      <sheetData sheetId="0">
        <row r="4">
          <cell r="D4" t="str">
            <v>LO#1 OSFI Guideline E15: Appointed Actuary -  Legal Requirements, Qualification and External Review (Aug 2023)</v>
          </cell>
        </row>
        <row r="5">
          <cell r="D5" t="str">
            <v>LO#1 LFM-634-23: CIA Standards of Practice: Insurance Sections (only Sections 2100, 2200, 2300, 2400, 2500, and 2700),  Jan 2023</v>
          </cell>
        </row>
        <row r="6">
          <cell r="D6" t="str">
            <v>LO#1 OSFI Guideline E16: Participating Account Management and Disclosure to Participating Policyholders and Adjustable Policyholders, OSFI, 2023</v>
          </cell>
        </row>
        <row r="7">
          <cell r="D7" t="str">
            <v xml:space="preserve">LO#1 CIA Educational Note: Guidance on Fairness Opinions Required Under the Insurance Companies Act Pursuant to Bill C-57 (2005) </v>
          </cell>
        </row>
        <row r="8">
          <cell r="D8" t="str">
            <v>LO#1 CIA Educational Note: Expected Mortality: Fully Underwritten Canadian Individual Life Insurance Policies: July 2002 (only sections 100, 200, and 300)</v>
          </cell>
        </row>
        <row r="9">
          <cell r="D9" t="str">
            <v>LO#1 CIA Final Communication of a Promulgation of Prescribed Mortality Improvement Rates (July 2017)</v>
          </cell>
        </row>
        <row r="10">
          <cell r="D10" t="str">
            <v>LO#1 CIA Educational Note: Selective Lapsation for Renewable Term Insurance Products, February 2017</v>
          </cell>
        </row>
        <row r="11">
          <cell r="D11" t="str">
            <v>LO#1 CIA Report - Lapse Experience Study for 10-year Term Insurance, Jan 2014, pp. 6 -32</v>
          </cell>
        </row>
        <row r="12">
          <cell r="D12" t="str">
            <v>LO#1 CIA Explanatory Report: IFRS 17 Discount Rate Applications, Mar 2023</v>
          </cell>
        </row>
        <row r="13">
          <cell r="D13" t="str">
            <v>LO#1 LFM-659-24: Understanding IFRS 17: Solving for New Challenges, Fiera Capital, Oct 2021</v>
          </cell>
        </row>
        <row r="14">
          <cell r="D14" t="str">
            <v>LO#1 LFM-632-23: OSFI B-3 Sound Reinsurance Practices and Procedures</v>
          </cell>
        </row>
        <row r="15">
          <cell r="D15" t="str">
            <v>LO#1 CIA Educational Note: Comparison of IFRS 17 to Current CIA Standard of Practice</v>
          </cell>
        </row>
        <row r="16">
          <cell r="D16" t="str">
            <v>LO#1 CIA Educational Note: Risk Adjustment under IFRS 17</v>
          </cell>
        </row>
        <row r="17">
          <cell r="D17" t="str">
            <v>LO#1 CIA Educational Note: Estimates of Future Cash Flows under IFRS 17</v>
          </cell>
        </row>
        <row r="18">
          <cell r="D18" t="str">
            <v>LO#1 LFM-649-22: International Actuarial Note 100 Application of IFRS 17 (exclude Section C Chapter 11 and Section D), Jan 2019</v>
          </cell>
        </row>
        <row r="19">
          <cell r="D19" t="str">
            <v>LO#1 IFRS 17 – Coverage Units for Life and Health Insurance Contracts</v>
          </cell>
        </row>
        <row r="20">
          <cell r="D20" t="str">
            <v>LO#1 CIA Educational Note - Market Consistent Valuation of Financial Guarantees for Life and Health Insurance Contracts</v>
          </cell>
        </row>
        <row r="21">
          <cell r="D21" t="str">
            <v>LO#1 CIA Educational Note - Discount Rates for Life and Health Insurance Contracts</v>
          </cell>
        </row>
        <row r="22">
          <cell r="D22" t="str">
            <v>LO#1 IFRS 17 Spreadsheet Model</v>
          </cell>
        </row>
        <row r="23">
          <cell r="D23" t="str">
            <v>LO#1 LFM-657-22: The IFRS 17 Contractual Service Margin: A Life Insurance Perspective (Sections 1-4.8)</v>
          </cell>
        </row>
        <row r="24">
          <cell r="D24" t="str">
            <v>LO#1 CIA Educational Note: IFRS 17 Measurement and Presentation of Canadian Participating Insurance Contracts</v>
          </cell>
        </row>
        <row r="25">
          <cell r="D25" t="str">
            <v>LO#1 CIA Explanatory Report: IFRS 17 Expenses</v>
          </cell>
        </row>
        <row r="26">
          <cell r="D26" t="str">
            <v>LO#1 CIA Educational Note: IFRS 17 – Fair Value of Insurance Contracts (Including Excel)</v>
          </cell>
        </row>
        <row r="27">
          <cell r="D27" t="str">
            <v>LO#1 LFM-658-23: Risk Adjustments For Insurance Contracts Under IFRS 17, Chapter 2 “Principles Underlying Risk adjustments”</v>
          </cell>
        </row>
        <row r="28">
          <cell r="D28" t="str">
            <v>LO#1 LFM-856-23: US GAAP for Life Insurers, 2022 - Chapter 1:    US GAAP - Objectives and Implications</v>
          </cell>
        </row>
        <row r="29">
          <cell r="D29" t="str">
            <v>LO#1 LFM-856-23: US GAAP for Life Insurers, 2022 - Chapter 3:    US GAAP - Product Classification</v>
          </cell>
        </row>
        <row r="30">
          <cell r="D30" t="str">
            <v>LO#1 LFM-856-23: US GAAP for Life Insurers, 2022 - Chapter 4:    US GAAP - Expenses and Capitalization</v>
          </cell>
        </row>
        <row r="31">
          <cell r="D31" t="str">
            <v>LO#1 LFM-856-23: US GAAP for Life Insurers, 2022 - Chapter 5:    US GAAP - Non-participating Traditional Life Insurance</v>
          </cell>
        </row>
        <row r="32">
          <cell r="D32" t="str">
            <v>LO#1 LFM-856-23: US GAAP for Life Insurers, 2022 - Chapter 6:    US GAAP - Participating Traditional Life Insurance</v>
          </cell>
        </row>
        <row r="33">
          <cell r="D33" t="str">
            <v>LO#1 LFM-856-23: US GAAP for Life Insurers, 2022 - Chapter 7:    US GAAP - Universal Life Insurance (only sections 1, 2, 5-7)</v>
          </cell>
        </row>
        <row r="34">
          <cell r="D34" t="str">
            <v>LO#1 LFM-856-23: US GAAP for Life Insurers, 2022 - Chapter 8:   US GAAP - Long Duration Health (only sections 1, 2.8.2, 3-5)</v>
          </cell>
        </row>
        <row r="35">
          <cell r="D35" t="str">
            <v>LO#1 LFM-856-23: US GAAP for Life Insurers, 2022 - Chapter 11:    US GAAP - Deferred Annuities</v>
          </cell>
        </row>
        <row r="36">
          <cell r="D36" t="str">
            <v>LO#1 LFM-856-23: US GAAP for Life Insurers, 2022 - Chapter 12:    US GAAP - Annuities in Payment Status</v>
          </cell>
        </row>
        <row r="37">
          <cell r="D37" t="str">
            <v>LO#1 LFM-856-23: US GAAP for Life Insurers, 2022 - Chapter 13:    US GAAP - Group Pension (only sections 2.3, 3 &amp; 4)</v>
          </cell>
        </row>
        <row r="38">
          <cell r="D38" t="str">
            <v>LO#1 LFM-856-23: US GAAP for Life Insurers, 2022 - Chapter 15:   US GAAP - Reinsurance</v>
          </cell>
        </row>
        <row r="39">
          <cell r="D39" t="str">
            <v>LO#1 LFM-856-23: US GAAP for Life Insurers, 2022 - Chapter 19:   US GAAP - Investment Accounting</v>
          </cell>
        </row>
        <row r="40">
          <cell r="D40" t="str">
            <v>LO#1 LFM-856-23: US GAAP for Life Insurers, 2022 - Chapter 20:   US GAAP - Derivatives and Hedging</v>
          </cell>
        </row>
        <row r="41">
          <cell r="D41" t="str">
            <v>LO#1 Implementation Considerations For VA Market Risk Benefits, Financial Reporter, Sep 2019</v>
          </cell>
        </row>
        <row r="42">
          <cell r="D42" t="str">
            <v>LO#1 Targeted Improvements Interactive Model</v>
          </cell>
        </row>
        <row r="43">
          <cell r="D43" t="str">
            <v>LO#2 LFM-650-20: FASB in Focus - ACCOUNTING STANDARDS UPDATE NO. 2018-12: Targeted Improvements to the Accounting for Long-Duration Contracts Issued by Insurance Companies</v>
          </cell>
        </row>
        <row r="44">
          <cell r="D44" t="str">
            <v>LO#2 LFM-143-20: Fundamentals of the Principle Based Approach to Statutory Reserves for Life Insurance, Rudolph</v>
          </cell>
        </row>
        <row r="45">
          <cell r="D45" t="str">
            <v>LO#2 LFM-149-21: Insurance Contracts Accounting Guide, PWC, Oct 2019 (Sections 1.1, 3.5, 5.1-5.4, 5.6; Figures IG 2-1, 2-2)</v>
          </cell>
        </row>
        <row r="46">
          <cell r="D46" t="str">
            <v>LO#2 LFM-144-20: The Modernization of Insurance Company Solvency Regulation in the US, Klein, Networks Financial Institute Policy Brief, 2012 (exclude Sections 7 and 9)</v>
          </cell>
        </row>
        <row r="47">
          <cell r="D47" t="str">
            <v>LO#2 Bridging the GAAP: IFRS 17 and LDTI Differences Explored, Financial Reporter, July 2022</v>
          </cell>
        </row>
        <row r="48">
          <cell r="D48" t="str">
            <v>LO#2 Regulatory Capital Adequacy for Life Insurance Companies: A Comparison of Four Jurisdictions (including spreadsheet)</v>
          </cell>
        </row>
        <row r="49">
          <cell r="D49" t="str">
            <v>LO#2 Valuation of Life Insurance Liabilities, Lombardi, Louis J., 5th Edition, 2018, Chapter 1 – Overview of Valuation Concepts (exclude 1.1-9)</v>
          </cell>
        </row>
        <row r="50">
          <cell r="D50" t="str">
            <v>LO#2 Valuation of Life Insurance Liabilities, Lombardi, Louis J., 5th Edition, 2018, Chapter 2 – Product Classifications (2.2 only)</v>
          </cell>
        </row>
        <row r="51">
          <cell r="D51" t="str">
            <v>LO#2 Valuation of Life Insurance Liabilities, Lombardi, Louis J., 5th Edition, 2018, Chapter 3 – NAIC Annual Statement</v>
          </cell>
        </row>
        <row r="52">
          <cell r="D52" t="str">
            <v>LO#2 Valuation of Life Insurance Liabilities, Lombardi, Louis J., 5th Edition, 2018, Chapter 4 – Standard Valuation Law</v>
          </cell>
        </row>
        <row r="53">
          <cell r="D53" t="str">
            <v>LO#2 Valuation of Life Insurance Liabilities, Lombardi, Louis J., 5th Edition, 2018, Chapter 5 – The Valuation Manual</v>
          </cell>
        </row>
        <row r="54">
          <cell r="D54" t="str">
            <v>LO#2 Valuation of Life Insurance Liabilities, Lombardi, Louis J., 5th Edition, 2018, Chapter 10 – Valuation Assumptions (exclude 10.1.3, 10.3.8)</v>
          </cell>
        </row>
        <row r="55">
          <cell r="D55" t="str">
            <v>LO#2 Valuation of Life Insurance Liabilities, Lombardi, Louis J., 5th Edition, 2018, Chapter 11 – Valuation Methodologies (exclude 11.3.9 to 11.3.11)</v>
          </cell>
        </row>
        <row r="56">
          <cell r="D56" t="str">
            <v xml:space="preserve">LO#2 Valuation of Life Insurance Liabilities, Lombardi, Louis J., 5th Edition, 2018, Chapter 12 – Whole Life </v>
          </cell>
        </row>
        <row r="57">
          <cell r="D57" t="str">
            <v xml:space="preserve">LO#2 Valuation of Life Insurance Liabilities, Lombardi, Louis J., 5th Edition, 2018, Chapter 13 – Term Life Insurance </v>
          </cell>
        </row>
        <row r="58">
          <cell r="D58" t="str">
            <v>LO#2 Valuation of Life Insurance Liabilities, Lombardi, Louis J., 5th Edition, 2018, Chapter 14 – Universal Life (exclude 14.4.8, 14.4.9, 14.5.0, 14.6.2-6)</v>
          </cell>
        </row>
        <row r="59">
          <cell r="D59" t="str">
            <v>LO#2 Valuation of Life Insurance Liabilities, Lombardi, Louis J., 5th Edition, 2018, Chapter 16 – Indexed Universal Life (exclude 16.4.2-3)</v>
          </cell>
        </row>
        <row r="60">
          <cell r="D60" t="str">
            <v>LO#2 Valuation of Life Insurance Liabilities, Lombardi, Louis J., 5th Edition, 2018, Chapter 18 – Fixed Deferred  Annuities (exclude 18.7.4, 18.8)</v>
          </cell>
        </row>
        <row r="61">
          <cell r="D61" t="str">
            <v xml:space="preserve">LO#2 Valuation of Life Insurance Liabilities, Lombardi, Louis J., 5th Edition, 2018, Chapter 20 -- Indexed Deferred Annuities </v>
          </cell>
        </row>
        <row r="62">
          <cell r="D62" t="str">
            <v xml:space="preserve">LO#2 Valuation of Life Insurance Liabilities, Lombardi, Louis J., 5th Edition, 2018, Chapter 21 – Immediate Annuities </v>
          </cell>
        </row>
        <row r="63">
          <cell r="D63" t="str">
            <v>LO#2 Valuation of Life Insurance Liabilities, Lombardi, Louis J., 5th Edition, 2018, Chapter 22 – Miscellaneous Reserves (exclude 22.3 to 22.4) </v>
          </cell>
        </row>
        <row r="64">
          <cell r="D64" t="str">
            <v>LO#2 Valuation of Life Insurance Liabilities, Lombardi, Louis J., 5th Edition, 2018, Chapter 23 – PBR for Life Products (exclude 23.1)</v>
          </cell>
        </row>
        <row r="65">
          <cell r="D65" t="str">
            <v>LO#2 Valuation of Life Insurance Liabilities, Lombardi, Louis J., 5th Edition, 2018, Chapter 24 - Addendum for Variable Annuity Updates</v>
          </cell>
        </row>
        <row r="66">
          <cell r="D66" t="str">
            <v>LO#2 Valuation of Life Insurance Liabilities, Lombardi, Louis J., 5th Edition, 2018, Chapter 25 - Overview of VM-31</v>
          </cell>
        </row>
        <row r="67">
          <cell r="D67" t="str">
            <v>LO#2 Impacts of AG 48, FR, 2015</v>
          </cell>
        </row>
        <row r="68">
          <cell r="D68" t="str">
            <v>LO#2 LFM-822-16: Study Note on Actuarial Guidelines AG 38 &amp; 48 (exclude pages 6 to 8)</v>
          </cell>
        </row>
        <row r="69">
          <cell r="D69" t="str">
            <v>LO#2 Practitioner Considerations for Guideline Excess Spread Attribution Methodology under Actuarial Guideline LIII (AG53), SOA Research Institute, Jan 2023</v>
          </cell>
        </row>
        <row r="70">
          <cell r="D70" t="str">
            <v>LO#2 Principle-Based Reserves Interactive Model</v>
          </cell>
        </row>
        <row r="71">
          <cell r="D71" t="str">
            <v>LO#2 PBA Corner, Financial Reporter, Jun 2016</v>
          </cell>
        </row>
        <row r="72">
          <cell r="D72" t="str">
            <v>LO#2 Reflection of COVID-19 in Life Insurance Mortality Improvement: A Discussion Brief, American Academy of Actuaries, May 2022</v>
          </cell>
        </row>
        <row r="73">
          <cell r="D73" t="str">
            <v>LO#3 Canadian Insurance Taxation, Swales, et. Al., 4th Ed, 2015, Chapter 3, Liability for Income Tax</v>
          </cell>
        </row>
        <row r="74">
          <cell r="D74" t="str">
            <v>LO#3 Canadian Insurance Taxation, Swales, et. Al., 4th Ed, 2015, Chapter 4, Income for Tax Purposes - General Rules,</v>
          </cell>
        </row>
        <row r="75">
          <cell r="D75" t="str">
            <v>LO#3 Canadian Insurance Taxation, Swales, et. Al., 4th Ed, 2015, Chapter 5, Investment Income,</v>
          </cell>
        </row>
        <row r="76">
          <cell r="D76" t="str">
            <v>LO#3 Canadian Insurance Taxation, Swales, et. Al., 4th Ed, 2015, Chapter 6, Reserves,</v>
          </cell>
        </row>
        <row r="77">
          <cell r="D77" t="str">
            <v>LO#3 Canadian Insurance Taxation, Swales, et. Al., 4th Ed, 2015, Chapter 9, IIT</v>
          </cell>
        </row>
        <row r="78">
          <cell r="D78" t="str">
            <v xml:space="preserve">LO#3 Canadian Insurance Taxation, Swales, et. Al., 4th Ed, 2015, Chapter 10, The Taxation of Life Insurance Policies </v>
          </cell>
        </row>
        <row r="79">
          <cell r="D79" t="str">
            <v>LO#3 Canadian Insurance Taxation, Swales, et. Al., 4th Ed, 2015, Chapter 11, The Taxation of Annuites</v>
          </cell>
        </row>
        <row r="80">
          <cell r="D80" t="str">
            <v>LO#3 Canadian Insurance Taxation, Swales, et. Al., 4th Ed, 2015, Chapter 24, Provincial Premium Tax,</v>
          </cell>
        </row>
        <row r="81">
          <cell r="D81" t="str">
            <v>LO#3 LFM-846-20: Company Tax – Introductory Study Note</v>
          </cell>
        </row>
        <row r="82">
          <cell r="D82" t="str">
            <v xml:space="preserve">LO#3 LFM-845-20: Chapters 1 and 2 of Life Insurance and Modified Endowments Under IRC §7702 and §7702A, Desrochers, 2nd Edition </v>
          </cell>
        </row>
        <row r="83">
          <cell r="D83" t="str">
            <v>LO#3 LFM-850-22: Changes to Section 7702 (IRC) and Nonforfeiture Interet Rates, Lewis &amp; Ellis, Jan 2021</v>
          </cell>
        </row>
        <row r="84">
          <cell r="D84" t="str">
            <v>LO#3 The Tax Cuts and Jobs Act of 2017— Effects on Life Insurers, American Academy of Actuaries, Oct 2020</v>
          </cell>
        </row>
        <row r="85">
          <cell r="D85" t="str">
            <v>LO#4 Economic Capital for life Insurance Companies, SOA Research paper, Oct 2016 (only sections 2 and 6)</v>
          </cell>
        </row>
        <row r="86">
          <cell r="D86" t="str">
            <v xml:space="preserve">LO#4 A Multi-Stakeholder Approach to Capital Adequacy, Conning Research </v>
          </cell>
        </row>
        <row r="87">
          <cell r="D87" t="str">
            <v xml:space="preserve">LO#4 The Theory of Risk Capital in Financial Firms, Chew </v>
          </cell>
        </row>
        <row r="88">
          <cell r="D88" t="str">
            <v xml:space="preserve">LO#4 The Theory of Risk Capital in Financial Firms, Chew </v>
          </cell>
        </row>
        <row r="89">
          <cell r="D89" t="str">
            <v>LO#4 LFM-645-23: OSFI LICAT Guideline, Chapters 1 - 11, excluding Sections 4.2-4.4 and 7.3-7.11</v>
          </cell>
        </row>
        <row r="90">
          <cell r="D90" t="str">
            <v>LO#4 LFM-636-20: OSFI Guideline A-4 Internal Target Capital Ratio for Insurance Companies, December 2017</v>
          </cell>
        </row>
        <row r="91">
          <cell r="D91" t="str">
            <v>LO#4 LFM-641-19: OSFI: Own Risk and Solvency Assessment (E-19), December 2017</v>
          </cell>
        </row>
        <row r="92">
          <cell r="D92" t="str">
            <v xml:space="preserve">LO#4 LFM-151-22: IAIS—International Capital Standard, ComFrame, Holistic Framework for Systemic Risk in the Insurance Sector, Sullivan &amp; Cromwell LLP, Dec 2019, Only pages 1-3, 8-28  </v>
          </cell>
        </row>
        <row r="93">
          <cell r="D93" t="str">
            <v>LO#4 LFM-813-13: U.S. Insurance Regulation Solvency Framework and Current Topics</v>
          </cell>
        </row>
        <row r="94">
          <cell r="D94" t="str">
            <v>LO#4 Lombardi, Chapter 29 – Risk-Based Capital, Valuation of Insurance Liabilities, 5th Ed.</v>
          </cell>
        </row>
        <row r="95">
          <cell r="D95" t="str">
            <v xml:space="preserve">LO#4 LFM-852-22: Group Capital Calculation: Public Summary, National Association of Insurance Commissioners,  Dec 2020  </v>
          </cell>
        </row>
        <row r="96">
          <cell r="D96" t="str">
            <v>LO#4 LFM-853-22: Group Capital Calculation: Pictorial, National Association of Insurance Commissioners, Dec 2020</v>
          </cell>
        </row>
        <row r="97">
          <cell r="D97" t="str">
            <v>LO#4 LFM-854-22:NAIC Own Risk and Solvency Assessment (ORSA) Guidance Manual, National Association of Insurance Commissioners, Dec 2017</v>
          </cell>
        </row>
        <row r="98">
          <cell r="D98" t="str">
            <v>LO#4 ASOP 55 – Capital Adequacy Assessment, Section 3 and Appendix 1</v>
          </cell>
        </row>
        <row r="99">
          <cell r="D99" t="str">
            <v xml:space="preserve">LO#5 LFM-106-07: Insurance Industry Mergers and Acquisitions, Chapter 4 (Sections 4.1-4.6) </v>
          </cell>
        </row>
        <row r="100">
          <cell r="D100" t="str">
            <v xml:space="preserve">LO#5 Embedded Value: Practice and Theory, SOA, Actuarial Practice Forum, March 2009 </v>
          </cell>
        </row>
        <row r="101">
          <cell r="D101" t="str">
            <v xml:space="preserve">LO#5 LFM-138-16: Prudential Financial - Stockholder's Equity and Operating Leverage, HBR, 2008  </v>
          </cell>
        </row>
        <row r="102">
          <cell r="D102" t="str">
            <v>LO#5 Will IFRS 17 replace EV, Milliman, Sep 2018</v>
          </cell>
        </row>
        <row r="103">
          <cell r="D103" t="str">
            <v>LO#5 OSFI Guideline B-15: Climate Risk Management</v>
          </cell>
        </row>
        <row r="104">
          <cell r="D104" t="str">
            <v>LO#5 Chapter 19 – Variable Deferred Annuities, Lombardi, Valuation of Insurance Liabilities, 5th Ed., Section 19.4</v>
          </cell>
        </row>
        <row r="105">
          <cell r="D105" t="str">
            <v>LO#5 LFM-152-22: Introduction to Source of Earnings Analysis (excluding Appendices)</v>
          </cell>
        </row>
        <row r="106">
          <cell r="D106" t="str">
            <v>LO#6 LFM-144-20: The Modernization of Insurance Company Solvency Regulation in the US, Klein, Networks Financial Institute Policy Brief, 2012 (exclude Sections 7 and 9)</v>
          </cell>
        </row>
        <row r="107">
          <cell r="D107" t="str">
            <v xml:space="preserve">LO#6 LFM-XXX-24: Insurance Contracts First Impressions: 2020 Edition IFRS 17, KPMG, July 2020 </v>
          </cell>
        </row>
        <row r="108">
          <cell r="D108" t="str">
            <v>LO#6 LFM-847-20: Life Insurance Regulatory Framework, OSFI, 2012</v>
          </cell>
        </row>
        <row r="109">
          <cell r="D109" t="str">
            <v xml:space="preserve">LO#6 LFM-151-22: IAIS—International Capital Standard, ComFrame, Holistic Framework for Systemic Risk in the Insurance Sector, Sullivan &amp; Cromwell LLP, Dec 2019, Pages 1-3, 8-28 </v>
          </cell>
        </row>
        <row r="110">
          <cell r="D110" t="str">
            <v>LO#6 Bridging the GAAP: IFRS 17 and LDTI Differences Explored, Financial Reporter, July 2022</v>
          </cell>
        </row>
        <row r="111">
          <cell r="D111" t="str">
            <v>LO#6 Regulatory Capital Adequacy for Life Insurance Companies: A Comparison of Four Jurisdictions (including spreadsheet)</v>
          </cell>
        </row>
        <row r="118">
          <cell r="C118" t="str">
            <v>Retrieval</v>
          </cell>
        </row>
        <row r="119">
          <cell r="C119" t="str">
            <v>Comprehension</v>
          </cell>
        </row>
        <row r="120">
          <cell r="C120" t="str">
            <v>Analysis</v>
          </cell>
        </row>
        <row r="121">
          <cell r="C121" t="str">
            <v>Knowledge Utilization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Description"/>
      <sheetName val="Note"/>
      <sheetName val="Input - Entrée de données"/>
      <sheetName val="Derivation"/>
      <sheetName val="Chart - Graphique"/>
      <sheetName val="Output - Résultats"/>
      <sheetName val="Équivalences"/>
      <sheetName val="Sheet1"/>
    </sheetNames>
    <sheetDataSet>
      <sheetData sheetId="0"/>
      <sheetData sheetId="1"/>
      <sheetData sheetId="2">
        <row r="1">
          <cell r="I1" t="str">
            <v>Français / French</v>
          </cell>
        </row>
        <row r="20">
          <cell r="D20">
            <v>0.04</v>
          </cell>
        </row>
        <row r="21">
          <cell r="D21">
            <v>5.2999999999999999E-2</v>
          </cell>
        </row>
      </sheetData>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Berry, Angela M." id="{08A1BD3A-D82D-4735-9CB7-5F1F3A200C18}" userId="S::Angela.Berry@securian.com::bb62b57d-a532-4b0f-8f68-9bddc20e706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23" dT="2023-06-09T18:44:39.60" personId="{08A1BD3A-D82D-4735-9CB7-5F1F3A200C18}" id="{8FBBB3F6-C6C3-4E59-B252-00F7EE4B552B}">
    <text>Death benefit payable at BOY</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101.xml.rels><?xml version="1.0" encoding="UTF-8" standalone="yes"?>
<Relationships xmlns="http://schemas.openxmlformats.org/package/2006/relationships"><Relationship Id="rId8" Type="http://schemas.openxmlformats.org/officeDocument/2006/relationships/oleObject" Target="../embeddings/oleObject4.bin"/><Relationship Id="rId13" Type="http://schemas.openxmlformats.org/officeDocument/2006/relationships/image" Target="../media/image12.wmf"/><Relationship Id="rId18" Type="http://schemas.openxmlformats.org/officeDocument/2006/relationships/oleObject" Target="../embeddings/oleObject9.bin"/><Relationship Id="rId26" Type="http://schemas.openxmlformats.org/officeDocument/2006/relationships/oleObject" Target="../embeddings/oleObject13.bin"/><Relationship Id="rId3" Type="http://schemas.openxmlformats.org/officeDocument/2006/relationships/vmlDrawing" Target="../drawings/vmlDrawing3.vml"/><Relationship Id="rId21" Type="http://schemas.openxmlformats.org/officeDocument/2006/relationships/image" Target="../media/image16.wmf"/><Relationship Id="rId7" Type="http://schemas.openxmlformats.org/officeDocument/2006/relationships/image" Target="../media/image9.wmf"/><Relationship Id="rId12" Type="http://schemas.openxmlformats.org/officeDocument/2006/relationships/oleObject" Target="../embeddings/oleObject6.bin"/><Relationship Id="rId17" Type="http://schemas.openxmlformats.org/officeDocument/2006/relationships/image" Target="../media/image14.wmf"/><Relationship Id="rId25" Type="http://schemas.openxmlformats.org/officeDocument/2006/relationships/image" Target="../media/image18.wmf"/><Relationship Id="rId2" Type="http://schemas.openxmlformats.org/officeDocument/2006/relationships/drawing" Target="../drawings/drawing5.xml"/><Relationship Id="rId16" Type="http://schemas.openxmlformats.org/officeDocument/2006/relationships/oleObject" Target="../embeddings/oleObject8.bin"/><Relationship Id="rId20" Type="http://schemas.openxmlformats.org/officeDocument/2006/relationships/oleObject" Target="../embeddings/oleObject10.bin"/><Relationship Id="rId29" Type="http://schemas.openxmlformats.org/officeDocument/2006/relationships/image" Target="../media/image20.wmf"/><Relationship Id="rId1" Type="http://schemas.openxmlformats.org/officeDocument/2006/relationships/printerSettings" Target="../printerSettings/printerSettings38.bin"/><Relationship Id="rId6" Type="http://schemas.openxmlformats.org/officeDocument/2006/relationships/oleObject" Target="../embeddings/oleObject3.bin"/><Relationship Id="rId11" Type="http://schemas.openxmlformats.org/officeDocument/2006/relationships/image" Target="../media/image11.wmf"/><Relationship Id="rId24" Type="http://schemas.openxmlformats.org/officeDocument/2006/relationships/oleObject" Target="../embeddings/oleObject12.bin"/><Relationship Id="rId5" Type="http://schemas.openxmlformats.org/officeDocument/2006/relationships/image" Target="../media/image8.wmf"/><Relationship Id="rId15" Type="http://schemas.openxmlformats.org/officeDocument/2006/relationships/image" Target="../media/image13.wmf"/><Relationship Id="rId23" Type="http://schemas.openxmlformats.org/officeDocument/2006/relationships/image" Target="../media/image17.wmf"/><Relationship Id="rId28" Type="http://schemas.openxmlformats.org/officeDocument/2006/relationships/oleObject" Target="../embeddings/oleObject14.bin"/><Relationship Id="rId10" Type="http://schemas.openxmlformats.org/officeDocument/2006/relationships/oleObject" Target="../embeddings/oleObject5.bin"/><Relationship Id="rId19" Type="http://schemas.openxmlformats.org/officeDocument/2006/relationships/image" Target="../media/image15.wmf"/><Relationship Id="rId31" Type="http://schemas.openxmlformats.org/officeDocument/2006/relationships/image" Target="../media/image21.wmf"/><Relationship Id="rId4" Type="http://schemas.openxmlformats.org/officeDocument/2006/relationships/oleObject" Target="../embeddings/oleObject2.bin"/><Relationship Id="rId9" Type="http://schemas.openxmlformats.org/officeDocument/2006/relationships/image" Target="../media/image10.wmf"/><Relationship Id="rId14" Type="http://schemas.openxmlformats.org/officeDocument/2006/relationships/oleObject" Target="../embeddings/oleObject7.bin"/><Relationship Id="rId22" Type="http://schemas.openxmlformats.org/officeDocument/2006/relationships/oleObject" Target="../embeddings/oleObject11.bin"/><Relationship Id="rId27" Type="http://schemas.openxmlformats.org/officeDocument/2006/relationships/image" Target="../media/image19.wmf"/><Relationship Id="rId30" Type="http://schemas.openxmlformats.org/officeDocument/2006/relationships/oleObject" Target="../embeddings/oleObject15.bin"/></Relationships>
</file>

<file path=xl/worksheets/_rels/sheet102.xml.rels><?xml version="1.0" encoding="UTF-8" standalone="yes"?>
<Relationships xmlns="http://schemas.openxmlformats.org/package/2006/relationships"><Relationship Id="rId8" Type="http://schemas.openxmlformats.org/officeDocument/2006/relationships/oleObject" Target="../embeddings/oleObject18.bin"/><Relationship Id="rId13" Type="http://schemas.openxmlformats.org/officeDocument/2006/relationships/image" Target="../media/image12.wmf"/><Relationship Id="rId18" Type="http://schemas.openxmlformats.org/officeDocument/2006/relationships/oleObject" Target="../embeddings/oleObject23.bin"/><Relationship Id="rId26" Type="http://schemas.openxmlformats.org/officeDocument/2006/relationships/oleObject" Target="../embeddings/oleObject27.bin"/><Relationship Id="rId3" Type="http://schemas.openxmlformats.org/officeDocument/2006/relationships/vmlDrawing" Target="../drawings/vmlDrawing4.vml"/><Relationship Id="rId21" Type="http://schemas.openxmlformats.org/officeDocument/2006/relationships/image" Target="../media/image16.wmf"/><Relationship Id="rId7" Type="http://schemas.openxmlformats.org/officeDocument/2006/relationships/image" Target="../media/image9.wmf"/><Relationship Id="rId12" Type="http://schemas.openxmlformats.org/officeDocument/2006/relationships/oleObject" Target="../embeddings/oleObject20.bin"/><Relationship Id="rId17" Type="http://schemas.openxmlformats.org/officeDocument/2006/relationships/image" Target="../media/image14.wmf"/><Relationship Id="rId25" Type="http://schemas.openxmlformats.org/officeDocument/2006/relationships/image" Target="../media/image18.wmf"/><Relationship Id="rId2" Type="http://schemas.openxmlformats.org/officeDocument/2006/relationships/drawing" Target="../drawings/drawing6.xml"/><Relationship Id="rId16" Type="http://schemas.openxmlformats.org/officeDocument/2006/relationships/oleObject" Target="../embeddings/oleObject22.bin"/><Relationship Id="rId20" Type="http://schemas.openxmlformats.org/officeDocument/2006/relationships/oleObject" Target="../embeddings/oleObject24.bin"/><Relationship Id="rId29" Type="http://schemas.openxmlformats.org/officeDocument/2006/relationships/image" Target="../media/image20.wmf"/><Relationship Id="rId1" Type="http://schemas.openxmlformats.org/officeDocument/2006/relationships/printerSettings" Target="../printerSettings/printerSettings39.bin"/><Relationship Id="rId6" Type="http://schemas.openxmlformats.org/officeDocument/2006/relationships/oleObject" Target="../embeddings/oleObject17.bin"/><Relationship Id="rId11" Type="http://schemas.openxmlformats.org/officeDocument/2006/relationships/image" Target="../media/image11.wmf"/><Relationship Id="rId24" Type="http://schemas.openxmlformats.org/officeDocument/2006/relationships/oleObject" Target="../embeddings/oleObject26.bin"/><Relationship Id="rId5" Type="http://schemas.openxmlformats.org/officeDocument/2006/relationships/image" Target="../media/image8.wmf"/><Relationship Id="rId15" Type="http://schemas.openxmlformats.org/officeDocument/2006/relationships/image" Target="../media/image13.wmf"/><Relationship Id="rId23" Type="http://schemas.openxmlformats.org/officeDocument/2006/relationships/image" Target="../media/image17.wmf"/><Relationship Id="rId28" Type="http://schemas.openxmlformats.org/officeDocument/2006/relationships/oleObject" Target="../embeddings/oleObject28.bin"/><Relationship Id="rId10" Type="http://schemas.openxmlformats.org/officeDocument/2006/relationships/oleObject" Target="../embeddings/oleObject19.bin"/><Relationship Id="rId19" Type="http://schemas.openxmlformats.org/officeDocument/2006/relationships/image" Target="../media/image15.wmf"/><Relationship Id="rId31" Type="http://schemas.openxmlformats.org/officeDocument/2006/relationships/image" Target="../media/image21.wmf"/><Relationship Id="rId4" Type="http://schemas.openxmlformats.org/officeDocument/2006/relationships/oleObject" Target="../embeddings/oleObject16.bin"/><Relationship Id="rId9" Type="http://schemas.openxmlformats.org/officeDocument/2006/relationships/image" Target="../media/image10.wmf"/><Relationship Id="rId14" Type="http://schemas.openxmlformats.org/officeDocument/2006/relationships/oleObject" Target="../embeddings/oleObject21.bin"/><Relationship Id="rId22" Type="http://schemas.openxmlformats.org/officeDocument/2006/relationships/oleObject" Target="../embeddings/oleObject25.bin"/><Relationship Id="rId27" Type="http://schemas.openxmlformats.org/officeDocument/2006/relationships/image" Target="../media/image19.wmf"/><Relationship Id="rId30" Type="http://schemas.openxmlformats.org/officeDocument/2006/relationships/oleObject" Target="../embeddings/oleObject29.bin"/></Relationships>
</file>

<file path=xl/worksheets/_rels/sheet103.xml.rels><?xml version="1.0" encoding="UTF-8" standalone="yes"?>
<Relationships xmlns="http://schemas.openxmlformats.org/package/2006/relationships"><Relationship Id="rId8" Type="http://schemas.openxmlformats.org/officeDocument/2006/relationships/oleObject" Target="../embeddings/oleObject32.bin"/><Relationship Id="rId13" Type="http://schemas.openxmlformats.org/officeDocument/2006/relationships/image" Target="../media/image12.wmf"/><Relationship Id="rId18" Type="http://schemas.openxmlformats.org/officeDocument/2006/relationships/oleObject" Target="../embeddings/oleObject37.bin"/><Relationship Id="rId26" Type="http://schemas.openxmlformats.org/officeDocument/2006/relationships/oleObject" Target="../embeddings/oleObject41.bin"/><Relationship Id="rId3" Type="http://schemas.openxmlformats.org/officeDocument/2006/relationships/vmlDrawing" Target="../drawings/vmlDrawing5.vml"/><Relationship Id="rId21" Type="http://schemas.openxmlformats.org/officeDocument/2006/relationships/image" Target="../media/image16.wmf"/><Relationship Id="rId7" Type="http://schemas.openxmlformats.org/officeDocument/2006/relationships/image" Target="../media/image9.wmf"/><Relationship Id="rId12" Type="http://schemas.openxmlformats.org/officeDocument/2006/relationships/oleObject" Target="../embeddings/oleObject34.bin"/><Relationship Id="rId17" Type="http://schemas.openxmlformats.org/officeDocument/2006/relationships/image" Target="../media/image14.wmf"/><Relationship Id="rId25" Type="http://schemas.openxmlformats.org/officeDocument/2006/relationships/image" Target="../media/image18.wmf"/><Relationship Id="rId2" Type="http://schemas.openxmlformats.org/officeDocument/2006/relationships/drawing" Target="../drawings/drawing7.xml"/><Relationship Id="rId16" Type="http://schemas.openxmlformats.org/officeDocument/2006/relationships/oleObject" Target="../embeddings/oleObject36.bin"/><Relationship Id="rId20" Type="http://schemas.openxmlformats.org/officeDocument/2006/relationships/oleObject" Target="../embeddings/oleObject38.bin"/><Relationship Id="rId29" Type="http://schemas.openxmlformats.org/officeDocument/2006/relationships/image" Target="../media/image20.wmf"/><Relationship Id="rId1" Type="http://schemas.openxmlformats.org/officeDocument/2006/relationships/printerSettings" Target="../printerSettings/printerSettings40.bin"/><Relationship Id="rId6" Type="http://schemas.openxmlformats.org/officeDocument/2006/relationships/oleObject" Target="../embeddings/oleObject31.bin"/><Relationship Id="rId11" Type="http://schemas.openxmlformats.org/officeDocument/2006/relationships/image" Target="../media/image11.wmf"/><Relationship Id="rId24" Type="http://schemas.openxmlformats.org/officeDocument/2006/relationships/oleObject" Target="../embeddings/oleObject40.bin"/><Relationship Id="rId5" Type="http://schemas.openxmlformats.org/officeDocument/2006/relationships/image" Target="../media/image8.wmf"/><Relationship Id="rId15" Type="http://schemas.openxmlformats.org/officeDocument/2006/relationships/image" Target="../media/image13.wmf"/><Relationship Id="rId23" Type="http://schemas.openxmlformats.org/officeDocument/2006/relationships/image" Target="../media/image17.wmf"/><Relationship Id="rId28" Type="http://schemas.openxmlformats.org/officeDocument/2006/relationships/oleObject" Target="../embeddings/oleObject42.bin"/><Relationship Id="rId10" Type="http://schemas.openxmlformats.org/officeDocument/2006/relationships/oleObject" Target="../embeddings/oleObject33.bin"/><Relationship Id="rId19" Type="http://schemas.openxmlformats.org/officeDocument/2006/relationships/image" Target="../media/image15.wmf"/><Relationship Id="rId31" Type="http://schemas.openxmlformats.org/officeDocument/2006/relationships/image" Target="../media/image21.wmf"/><Relationship Id="rId4" Type="http://schemas.openxmlformats.org/officeDocument/2006/relationships/oleObject" Target="../embeddings/oleObject30.bin"/><Relationship Id="rId9" Type="http://schemas.openxmlformats.org/officeDocument/2006/relationships/image" Target="../media/image10.wmf"/><Relationship Id="rId14" Type="http://schemas.openxmlformats.org/officeDocument/2006/relationships/oleObject" Target="../embeddings/oleObject35.bin"/><Relationship Id="rId22" Type="http://schemas.openxmlformats.org/officeDocument/2006/relationships/oleObject" Target="../embeddings/oleObject39.bin"/><Relationship Id="rId27" Type="http://schemas.openxmlformats.org/officeDocument/2006/relationships/image" Target="../media/image19.wmf"/><Relationship Id="rId30" Type="http://schemas.openxmlformats.org/officeDocument/2006/relationships/oleObject" Target="../embeddings/oleObject4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12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9.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0.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1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9.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9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6.bin"/><Relationship Id="rId5" Type="http://schemas.openxmlformats.org/officeDocument/2006/relationships/image" Target="../media/image7.w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97AB9-A7BA-4E61-8D9D-70D8934EF236}">
  <sheetPr>
    <tabColor rgb="FF0070C0"/>
    <pageSetUpPr autoPageBreaks="0"/>
  </sheetPr>
  <dimension ref="A6:K21"/>
  <sheetViews>
    <sheetView showGridLines="0" tabSelected="1" zoomScale="115" zoomScaleNormal="115" workbookViewId="0"/>
  </sheetViews>
  <sheetFormatPr defaultRowHeight="14.4"/>
  <cols>
    <col min="1" max="1" width="10.33203125" style="1186" customWidth="1"/>
    <col min="2" max="9" width="8.88671875" style="1186"/>
    <col min="10" max="10" width="12.88671875" style="1186" customWidth="1"/>
    <col min="11" max="16384" width="8.88671875" style="1186"/>
  </cols>
  <sheetData>
    <row r="6" spans="1:10" ht="33.6">
      <c r="A6" s="1185" t="s">
        <v>1878</v>
      </c>
      <c r="B6" s="1185"/>
      <c r="C6" s="1185"/>
      <c r="D6" s="1185"/>
      <c r="E6" s="1185"/>
      <c r="F6" s="1185"/>
      <c r="G6" s="1185"/>
      <c r="H6" s="1185"/>
      <c r="I6" s="1185"/>
      <c r="J6" s="1185"/>
    </row>
    <row r="7" spans="1:10" ht="6" customHeight="1">
      <c r="A7" s="1187"/>
      <c r="B7" s="1187"/>
      <c r="C7" s="1187"/>
      <c r="D7" s="1187"/>
      <c r="E7" s="1187"/>
      <c r="F7" s="1187"/>
      <c r="G7" s="1187"/>
      <c r="H7" s="1187"/>
      <c r="I7" s="1187"/>
      <c r="J7" s="1187"/>
    </row>
    <row r="8" spans="1:10" ht="20.399999999999999">
      <c r="A8" s="1188" t="s">
        <v>1888</v>
      </c>
      <c r="B8" s="1188"/>
      <c r="C8" s="1188"/>
      <c r="D8" s="1188"/>
      <c r="E8" s="1188"/>
      <c r="F8" s="1188"/>
      <c r="G8" s="1188"/>
      <c r="H8" s="1188"/>
      <c r="I8" s="1188"/>
      <c r="J8" s="1188"/>
    </row>
    <row r="10" spans="1:10" ht="75" customHeight="1">
      <c r="A10" s="1189" t="s">
        <v>1879</v>
      </c>
      <c r="B10" s="1190" t="s">
        <v>1880</v>
      </c>
      <c r="C10" s="1190"/>
      <c r="D10" s="1190"/>
      <c r="E10" s="1190"/>
      <c r="F10" s="1190"/>
      <c r="G10" s="1190"/>
      <c r="H10" s="1190"/>
      <c r="I10" s="1190"/>
      <c r="J10" s="1190"/>
    </row>
    <row r="11" spans="1:10">
      <c r="B11" s="1191"/>
      <c r="C11" s="1191"/>
      <c r="D11" s="1191"/>
      <c r="E11" s="1191"/>
      <c r="F11" s="1191"/>
      <c r="G11" s="1191"/>
      <c r="H11" s="1191"/>
      <c r="I11" s="1191"/>
      <c r="J11" s="1191"/>
    </row>
    <row r="12" spans="1:10" ht="45" customHeight="1">
      <c r="A12" s="1189" t="s">
        <v>1879</v>
      </c>
      <c r="B12" s="1190" t="s">
        <v>1881</v>
      </c>
      <c r="C12" s="1190"/>
      <c r="D12" s="1190"/>
      <c r="E12" s="1190"/>
      <c r="F12" s="1190"/>
      <c r="G12" s="1190"/>
      <c r="H12" s="1190"/>
      <c r="I12" s="1190"/>
      <c r="J12" s="1190"/>
    </row>
    <row r="13" spans="1:10">
      <c r="B13" s="1191"/>
      <c r="C13" s="1191"/>
      <c r="D13" s="1191"/>
      <c r="E13" s="1191"/>
      <c r="F13" s="1191"/>
      <c r="G13" s="1191"/>
      <c r="H13" s="1191"/>
      <c r="I13" s="1191"/>
      <c r="J13" s="1191"/>
    </row>
    <row r="14" spans="1:10" ht="45.6" customHeight="1">
      <c r="A14" s="1189" t="s">
        <v>1879</v>
      </c>
      <c r="B14" s="1190" t="s">
        <v>1882</v>
      </c>
      <c r="C14" s="1190"/>
      <c r="D14" s="1190"/>
      <c r="E14" s="1190"/>
      <c r="F14" s="1190"/>
      <c r="G14" s="1190"/>
      <c r="H14" s="1190"/>
      <c r="I14" s="1190"/>
      <c r="J14" s="1190"/>
    </row>
    <row r="15" spans="1:10">
      <c r="B15" s="1191"/>
      <c r="C15" s="1191"/>
      <c r="D15" s="1191"/>
      <c r="E15" s="1191"/>
      <c r="F15" s="1191"/>
      <c r="G15" s="1191"/>
      <c r="H15" s="1191"/>
      <c r="I15" s="1191"/>
      <c r="J15" s="1191"/>
    </row>
    <row r="16" spans="1:10" ht="72.599999999999994" customHeight="1">
      <c r="A16" s="1189" t="s">
        <v>1879</v>
      </c>
      <c r="B16" s="1190" t="s">
        <v>1883</v>
      </c>
      <c r="C16" s="1190"/>
      <c r="D16" s="1190"/>
      <c r="E16" s="1190"/>
      <c r="F16" s="1190"/>
      <c r="G16" s="1190"/>
      <c r="H16" s="1190"/>
      <c r="I16" s="1190"/>
      <c r="J16" s="1190"/>
    </row>
    <row r="17" spans="1:11">
      <c r="B17" s="1191"/>
      <c r="C17" s="1191"/>
      <c r="D17" s="1191"/>
      <c r="E17" s="1191"/>
      <c r="F17" s="1191"/>
      <c r="G17" s="1191"/>
      <c r="H17" s="1191"/>
      <c r="I17" s="1191"/>
      <c r="J17" s="1191"/>
      <c r="K17" s="1011"/>
    </row>
    <row r="18" spans="1:11" ht="44.4" customHeight="1">
      <c r="A18" s="1189" t="s">
        <v>1879</v>
      </c>
      <c r="B18" s="1190" t="s">
        <v>1884</v>
      </c>
      <c r="C18" s="1190"/>
      <c r="D18" s="1190"/>
      <c r="E18" s="1190"/>
      <c r="F18" s="1190"/>
      <c r="G18" s="1190"/>
      <c r="H18" s="1190"/>
      <c r="I18" s="1190"/>
      <c r="J18" s="1190"/>
    </row>
    <row r="21" spans="1:11">
      <c r="B21" s="1192" t="s">
        <v>1885</v>
      </c>
      <c r="C21" s="1192"/>
      <c r="D21" s="1193" t="s">
        <v>1886</v>
      </c>
      <c r="E21" s="1193"/>
      <c r="F21" s="1193"/>
      <c r="G21" s="1193"/>
      <c r="H21" s="1194" t="s">
        <v>1887</v>
      </c>
      <c r="I21" s="1194"/>
      <c r="J21" s="1194"/>
    </row>
  </sheetData>
  <mergeCells count="10">
    <mergeCell ref="B18:J18"/>
    <mergeCell ref="B21:C21"/>
    <mergeCell ref="D21:G21"/>
    <mergeCell ref="H21:J21"/>
    <mergeCell ref="A6:J6"/>
    <mergeCell ref="A8:J8"/>
    <mergeCell ref="B10:J10"/>
    <mergeCell ref="B12:J12"/>
    <mergeCell ref="B14:J14"/>
    <mergeCell ref="B16:J16"/>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D5B57-F58B-4C16-8268-193677C48245}">
  <sheetPr>
    <tabColor rgb="FFFF0000"/>
  </sheetPr>
  <dimension ref="A1:B79"/>
  <sheetViews>
    <sheetView workbookViewId="0">
      <selection sqref="A1:XFD1048576"/>
    </sheetView>
  </sheetViews>
  <sheetFormatPr defaultColWidth="9.21875" defaultRowHeight="14.4"/>
  <cols>
    <col min="1" max="1" width="30.44140625" style="727" customWidth="1"/>
    <col min="2" max="2" width="10" style="727" customWidth="1"/>
    <col min="3" max="3" width="11.21875" style="727" customWidth="1"/>
    <col min="4" max="4" width="12" style="727" customWidth="1"/>
    <col min="5" max="5" width="11.44140625" style="727" customWidth="1"/>
    <col min="6" max="16384" width="9.21875" style="727"/>
  </cols>
  <sheetData>
    <row r="1" spans="1:2" s="729" customFormat="1" ht="17.399999999999999">
      <c r="A1" s="730" t="s">
        <v>1717</v>
      </c>
    </row>
    <row r="2" spans="1:2" s="729" customFormat="1" ht="15.6">
      <c r="A2" s="731" t="s">
        <v>1718</v>
      </c>
    </row>
    <row r="3" spans="1:2" s="729" customFormat="1" ht="15.6">
      <c r="A3" s="731" t="s">
        <v>1719</v>
      </c>
    </row>
    <row r="4" spans="1:2" s="729" customFormat="1"/>
    <row r="5" spans="1:2" s="729" customFormat="1" ht="15.6">
      <c r="A5" s="728" t="s">
        <v>1720</v>
      </c>
    </row>
    <row r="6" spans="1:2" s="729" customFormat="1" ht="15.6">
      <c r="A6" s="728"/>
    </row>
    <row r="7" spans="1:2" s="729" customFormat="1" ht="15.6">
      <c r="A7" s="986" t="s">
        <v>1845</v>
      </c>
    </row>
    <row r="8" spans="1:2" s="729" customFormat="1" ht="16.2" thickBot="1">
      <c r="A8" s="741"/>
    </row>
    <row r="9" spans="1:2" s="729" customFormat="1" ht="16.2" thickBot="1">
      <c r="A9" s="1055" t="s">
        <v>1721</v>
      </c>
      <c r="B9" s="1056"/>
    </row>
    <row r="10" spans="1:2" s="729" customFormat="1" ht="16.2" thickBot="1">
      <c r="A10" s="753" t="s">
        <v>1722</v>
      </c>
      <c r="B10" s="1028">
        <v>1000</v>
      </c>
    </row>
    <row r="11" spans="1:2" s="729" customFormat="1" ht="16.2" thickBot="1">
      <c r="A11" s="753" t="s">
        <v>1723</v>
      </c>
      <c r="B11" s="1029">
        <v>350</v>
      </c>
    </row>
    <row r="12" spans="1:2" s="729" customFormat="1" ht="16.2" thickBot="1">
      <c r="A12" s="753" t="s">
        <v>1724</v>
      </c>
      <c r="B12" s="1028">
        <v>1000</v>
      </c>
    </row>
    <row r="13" spans="1:2" s="729" customFormat="1" ht="16.2" thickBot="1">
      <c r="A13" s="753" t="s">
        <v>1725</v>
      </c>
      <c r="B13" s="1029">
        <v>500</v>
      </c>
    </row>
    <row r="14" spans="1:2" s="729" customFormat="1" ht="16.2" thickBot="1">
      <c r="A14" s="728"/>
    </row>
    <row r="15" spans="1:2" s="729" customFormat="1" ht="16.2" thickBot="1">
      <c r="A15" s="1055" t="s">
        <v>1559</v>
      </c>
      <c r="B15" s="1056"/>
    </row>
    <row r="16" spans="1:2" s="729" customFormat="1" ht="16.2" thickBot="1">
      <c r="A16" s="753" t="s">
        <v>1726</v>
      </c>
      <c r="B16" s="1028">
        <v>4900</v>
      </c>
    </row>
    <row r="17" spans="1:2" s="729" customFormat="1" ht="16.2" thickBot="1">
      <c r="A17" s="753" t="s">
        <v>1727</v>
      </c>
      <c r="B17" s="1028">
        <v>1350</v>
      </c>
    </row>
    <row r="18" spans="1:2" s="729" customFormat="1" ht="16.2" thickBot="1">
      <c r="A18" s="753" t="s">
        <v>1728</v>
      </c>
      <c r="B18" s="1028">
        <v>1200</v>
      </c>
    </row>
    <row r="19" spans="1:2" s="729" customFormat="1" ht="16.2" thickBot="1">
      <c r="A19" s="753" t="s">
        <v>1139</v>
      </c>
      <c r="B19" s="1028">
        <v>5000</v>
      </c>
    </row>
    <row r="20" spans="1:2" s="729" customFormat="1" ht="16.2" thickBot="1">
      <c r="A20" s="753" t="s">
        <v>1729</v>
      </c>
      <c r="B20" s="1028">
        <v>1800</v>
      </c>
    </row>
    <row r="21" spans="1:2" s="729" customFormat="1" ht="16.2" thickBot="1">
      <c r="A21" s="753" t="s">
        <v>1730</v>
      </c>
      <c r="B21" s="1028">
        <v>1200</v>
      </c>
    </row>
    <row r="22" spans="1:2" s="729" customFormat="1" ht="16.2" thickBot="1">
      <c r="A22" s="753" t="s">
        <v>1731</v>
      </c>
      <c r="B22" s="1028">
        <v>2500</v>
      </c>
    </row>
    <row r="23" spans="1:2" s="729" customFormat="1" ht="16.2" thickBot="1">
      <c r="A23" s="753" t="s">
        <v>1732</v>
      </c>
      <c r="B23" s="1028">
        <v>1800</v>
      </c>
    </row>
    <row r="24" spans="1:2" s="729" customFormat="1" ht="16.2" thickBot="1">
      <c r="A24" s="753" t="s">
        <v>1733</v>
      </c>
      <c r="B24" s="1028">
        <v>1000</v>
      </c>
    </row>
    <row r="25" spans="1:2" s="729" customFormat="1" ht="15.6">
      <c r="A25" s="728"/>
    </row>
    <row r="26" spans="1:2" s="729" customFormat="1" ht="15.6">
      <c r="A26" s="979" t="s">
        <v>1846</v>
      </c>
    </row>
    <row r="27" spans="1:2" s="729" customFormat="1" ht="15.6">
      <c r="A27" s="979" t="s">
        <v>1847</v>
      </c>
    </row>
    <row r="28" spans="1:2" s="729" customFormat="1" ht="15.6">
      <c r="A28" s="979" t="s">
        <v>1848</v>
      </c>
    </row>
    <row r="29" spans="1:2" s="729" customFormat="1" ht="15.6">
      <c r="A29" s="728"/>
    </row>
    <row r="30" spans="1:2" s="729" customFormat="1" ht="15.6">
      <c r="A30" s="863" t="s">
        <v>1849</v>
      </c>
    </row>
    <row r="31" spans="1:2" ht="15.6">
      <c r="A31" s="1036" t="s">
        <v>24</v>
      </c>
    </row>
    <row r="44" spans="1:2" s="729" customFormat="1" ht="15.6">
      <c r="A44" s="728" t="s">
        <v>1850</v>
      </c>
    </row>
    <row r="45" spans="1:2" s="729" customFormat="1" ht="16.2" thickBot="1">
      <c r="A45" s="728"/>
    </row>
    <row r="46" spans="1:2" s="729" customFormat="1" ht="16.2" thickBot="1">
      <c r="A46" s="1055" t="s">
        <v>1734</v>
      </c>
      <c r="B46" s="1057"/>
    </row>
    <row r="47" spans="1:2" s="729" customFormat="1" ht="16.2" thickBot="1">
      <c r="A47" s="753" t="s">
        <v>1735</v>
      </c>
      <c r="B47" s="1029">
        <v>5000</v>
      </c>
    </row>
    <row r="48" spans="1:2" s="729" customFormat="1" ht="16.2" thickBot="1">
      <c r="A48" s="1032"/>
      <c r="B48" s="1029"/>
    </row>
    <row r="49" spans="1:2" s="729" customFormat="1" ht="16.2" thickBot="1">
      <c r="A49" s="753" t="s">
        <v>1736</v>
      </c>
      <c r="B49" s="1029">
        <v>1</v>
      </c>
    </row>
    <row r="50" spans="1:2" s="729" customFormat="1" ht="16.2" thickBot="1">
      <c r="A50" s="753" t="s">
        <v>1737</v>
      </c>
      <c r="B50" s="1029">
        <v>399</v>
      </c>
    </row>
    <row r="51" spans="1:2" s="729" customFormat="1" ht="16.2" thickBot="1">
      <c r="A51" s="753" t="s">
        <v>1738</v>
      </c>
      <c r="B51" s="1029">
        <v>-250</v>
      </c>
    </row>
    <row r="52" spans="1:2" s="729" customFormat="1" ht="16.2" thickBot="1">
      <c r="A52" s="753" t="s">
        <v>952</v>
      </c>
      <c r="B52" s="1029">
        <v>300</v>
      </c>
    </row>
    <row r="53" spans="1:2" s="729" customFormat="1" ht="16.2" thickBot="1">
      <c r="A53" s="753" t="s">
        <v>1739</v>
      </c>
      <c r="B53" s="1029">
        <v>1000</v>
      </c>
    </row>
    <row r="54" spans="1:2" s="729" customFormat="1" ht="16.2" thickBot="1">
      <c r="A54" s="753" t="s">
        <v>1740</v>
      </c>
      <c r="B54" s="1029">
        <v>100</v>
      </c>
    </row>
    <row r="55" spans="1:2" s="729" customFormat="1" ht="15.6">
      <c r="A55" s="728"/>
    </row>
    <row r="56" spans="1:2" s="729" customFormat="1" ht="16.2" thickBot="1">
      <c r="A56" s="728"/>
    </row>
    <row r="57" spans="1:2" s="729" customFormat="1" ht="16.2" thickBot="1">
      <c r="A57" s="1055" t="s">
        <v>1741</v>
      </c>
      <c r="B57" s="1057"/>
    </row>
    <row r="58" spans="1:2" s="729" customFormat="1" ht="16.2" thickBot="1">
      <c r="A58" s="753" t="s">
        <v>1742</v>
      </c>
      <c r="B58" s="1029">
        <v>5200</v>
      </c>
    </row>
    <row r="59" spans="1:2" s="729" customFormat="1" ht="16.2" thickBot="1">
      <c r="A59" s="753" t="s">
        <v>1743</v>
      </c>
      <c r="B59" s="1029">
        <v>50</v>
      </c>
    </row>
    <row r="60" spans="1:2" s="729" customFormat="1" ht="16.2" thickBot="1">
      <c r="A60" s="753" t="s">
        <v>1744</v>
      </c>
      <c r="B60" s="1029">
        <v>500</v>
      </c>
    </row>
    <row r="61" spans="1:2" s="729" customFormat="1" ht="15.6">
      <c r="A61" s="728"/>
    </row>
    <row r="62" spans="1:2" s="729" customFormat="1" ht="15.6">
      <c r="A62" s="986" t="s">
        <v>1745</v>
      </c>
    </row>
    <row r="63" spans="1:2" s="729" customFormat="1" ht="15.6">
      <c r="A63" s="728"/>
    </row>
    <row r="64" spans="1:2" s="729" customFormat="1" ht="15.6">
      <c r="A64" s="863" t="s">
        <v>1851</v>
      </c>
    </row>
    <row r="65" spans="1:1" ht="15.6">
      <c r="A65" s="1036" t="s">
        <v>24</v>
      </c>
    </row>
    <row r="66" spans="1:1" ht="15.6">
      <c r="A66" s="750"/>
    </row>
    <row r="67" spans="1:1" ht="15.6">
      <c r="A67" s="750"/>
    </row>
    <row r="68" spans="1:1" ht="15.6">
      <c r="A68" s="750"/>
    </row>
    <row r="69" spans="1:1" ht="15.6">
      <c r="A69" s="750"/>
    </row>
    <row r="70" spans="1:1" ht="15.6">
      <c r="A70" s="750"/>
    </row>
    <row r="71" spans="1:1" ht="15.6">
      <c r="A71" s="750"/>
    </row>
    <row r="72" spans="1:1" ht="15.6">
      <c r="A72" s="750"/>
    </row>
    <row r="73" spans="1:1" ht="15.6">
      <c r="A73" s="750"/>
    </row>
    <row r="74" spans="1:1" ht="15.6">
      <c r="A74" s="750"/>
    </row>
    <row r="75" spans="1:1" ht="15.6">
      <c r="A75" s="750"/>
    </row>
    <row r="76" spans="1:1" ht="15.6">
      <c r="A76" s="750"/>
    </row>
    <row r="77" spans="1:1" ht="15.6">
      <c r="A77" s="750"/>
    </row>
    <row r="78" spans="1:1" s="729" customFormat="1" ht="15.6">
      <c r="A78" s="863" t="s">
        <v>1852</v>
      </c>
    </row>
    <row r="79" spans="1:1" ht="15.6">
      <c r="A79" s="1036" t="s">
        <v>24</v>
      </c>
    </row>
  </sheetData>
  <mergeCells count="4">
    <mergeCell ref="A9:B9"/>
    <mergeCell ref="A15:B15"/>
    <mergeCell ref="A46:B46"/>
    <mergeCell ref="A57:B57"/>
  </mergeCell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B1948-8A71-40E6-AA51-8C016664135B}">
  <sheetPr codeName="Sheet47"/>
  <dimension ref="A1:N21"/>
  <sheetViews>
    <sheetView topLeftCell="A7" workbookViewId="0"/>
  </sheetViews>
  <sheetFormatPr defaultColWidth="9.21875" defaultRowHeight="14.4"/>
  <cols>
    <col min="1" max="1" width="46.5546875" style="67" customWidth="1"/>
    <col min="2" max="4" width="14.44140625" style="67" customWidth="1"/>
    <col min="5" max="16384" width="9.21875" style="67"/>
  </cols>
  <sheetData>
    <row r="1" spans="1:14" ht="17.399999999999999">
      <c r="A1" s="65" t="s">
        <v>466</v>
      </c>
      <c r="B1" s="66"/>
      <c r="C1" s="66"/>
      <c r="D1" s="66"/>
      <c r="E1" s="66"/>
      <c r="F1" s="66"/>
      <c r="G1" s="66"/>
      <c r="H1" s="66"/>
      <c r="I1" s="66"/>
      <c r="J1" s="66"/>
      <c r="K1" s="66"/>
      <c r="L1" s="66"/>
      <c r="M1" s="66"/>
      <c r="N1" s="66"/>
    </row>
    <row r="2" spans="1:14" ht="15.6">
      <c r="A2" s="68" t="s">
        <v>467</v>
      </c>
      <c r="B2" s="66"/>
      <c r="C2" s="66"/>
      <c r="D2" s="66"/>
      <c r="E2" s="66"/>
      <c r="F2" s="66"/>
      <c r="G2" s="66"/>
      <c r="H2" s="66"/>
      <c r="I2" s="66"/>
      <c r="J2" s="66"/>
      <c r="K2" s="66"/>
      <c r="L2" s="66"/>
      <c r="M2" s="66"/>
      <c r="N2" s="66"/>
    </row>
    <row r="3" spans="1:14" ht="15.6">
      <c r="A3" s="68" t="s">
        <v>426</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157" t="s">
        <v>468</v>
      </c>
      <c r="B5" s="66"/>
      <c r="C5" s="66"/>
      <c r="D5" s="66"/>
      <c r="E5" s="66"/>
      <c r="F5" s="66"/>
      <c r="G5" s="66"/>
      <c r="H5" s="66"/>
      <c r="I5" s="66"/>
      <c r="J5" s="66"/>
      <c r="K5" s="66"/>
      <c r="L5" s="66"/>
      <c r="M5" s="66"/>
      <c r="N5" s="66"/>
    </row>
    <row r="6" spans="1:14" ht="16.2" thickBot="1">
      <c r="A6" s="163"/>
      <c r="B6" s="66"/>
      <c r="C6" s="66"/>
      <c r="D6" s="66"/>
      <c r="E6" s="66"/>
      <c r="F6" s="66"/>
      <c r="G6" s="66"/>
      <c r="H6" s="66"/>
      <c r="I6" s="66"/>
      <c r="J6" s="66"/>
      <c r="K6" s="66"/>
      <c r="L6" s="66"/>
      <c r="M6" s="66"/>
      <c r="N6" s="66"/>
    </row>
    <row r="7" spans="1:14" ht="47.4" thickBot="1">
      <c r="A7" s="139" t="s">
        <v>469</v>
      </c>
      <c r="B7" s="187" t="s">
        <v>470</v>
      </c>
      <c r="C7" s="187" t="s">
        <v>471</v>
      </c>
      <c r="D7" s="66"/>
      <c r="E7" s="66"/>
      <c r="F7" s="66"/>
      <c r="G7" s="66"/>
      <c r="H7" s="66"/>
      <c r="I7" s="66"/>
      <c r="J7" s="66"/>
      <c r="K7" s="66"/>
      <c r="L7" s="66"/>
      <c r="M7" s="66"/>
      <c r="N7" s="66"/>
    </row>
    <row r="8" spans="1:14" ht="16.2" thickBot="1">
      <c r="A8" s="137">
        <v>0</v>
      </c>
      <c r="B8" s="183">
        <v>11350</v>
      </c>
      <c r="C8" s="113"/>
      <c r="D8" s="66"/>
      <c r="E8" s="66"/>
      <c r="F8" s="66"/>
      <c r="G8" s="66"/>
      <c r="H8" s="66"/>
      <c r="I8" s="66"/>
      <c r="J8" s="66"/>
      <c r="K8" s="66"/>
      <c r="L8" s="66"/>
      <c r="M8" s="66"/>
      <c r="N8" s="66"/>
    </row>
    <row r="9" spans="1:14" ht="16.2" thickBot="1">
      <c r="A9" s="137">
        <v>1</v>
      </c>
      <c r="B9" s="113">
        <v>-915</v>
      </c>
      <c r="C9" s="114">
        <v>1.83E-2</v>
      </c>
      <c r="D9" s="66"/>
      <c r="E9" s="66"/>
      <c r="F9" s="66"/>
      <c r="G9" s="66"/>
      <c r="H9" s="66"/>
      <c r="I9" s="66"/>
      <c r="J9" s="66"/>
      <c r="K9" s="66"/>
      <c r="L9" s="66"/>
      <c r="M9" s="66"/>
      <c r="N9" s="66"/>
    </row>
    <row r="10" spans="1:14" ht="16.2" thickBot="1">
      <c r="A10" s="137">
        <v>2</v>
      </c>
      <c r="B10" s="113">
        <v>-970</v>
      </c>
      <c r="C10" s="114">
        <v>2.5000000000000001E-3</v>
      </c>
      <c r="D10" s="66"/>
      <c r="E10" s="66"/>
      <c r="F10" s="66"/>
      <c r="G10" s="66"/>
      <c r="H10" s="66"/>
      <c r="I10" s="66"/>
      <c r="J10" s="66"/>
      <c r="K10" s="66"/>
      <c r="L10" s="66"/>
      <c r="M10" s="66"/>
      <c r="N10" s="66"/>
    </row>
    <row r="11" spans="1:14" ht="16.2" thickBot="1">
      <c r="A11" s="137">
        <v>3</v>
      </c>
      <c r="B11" s="183">
        <v>1065</v>
      </c>
      <c r="C11" s="114">
        <v>1.5599999999999999E-2</v>
      </c>
      <c r="D11" s="66"/>
      <c r="E11" s="66"/>
      <c r="F11" s="66"/>
      <c r="G11" s="66"/>
      <c r="H11" s="66"/>
      <c r="I11" s="66"/>
      <c r="J11" s="66"/>
      <c r="K11" s="66"/>
      <c r="L11" s="66"/>
      <c r="M11" s="66"/>
      <c r="N11" s="66"/>
    </row>
    <row r="12" spans="1:14" ht="16.2" thickBot="1">
      <c r="A12" s="137">
        <v>4</v>
      </c>
      <c r="B12" s="113">
        <v>-900</v>
      </c>
      <c r="C12" s="114">
        <v>1E-3</v>
      </c>
      <c r="D12" s="66"/>
      <c r="E12" s="66"/>
      <c r="F12" s="66"/>
      <c r="G12" s="66"/>
      <c r="H12" s="66"/>
      <c r="I12" s="66"/>
      <c r="J12" s="66"/>
      <c r="K12" s="66"/>
      <c r="L12" s="66"/>
      <c r="M12" s="66"/>
      <c r="N12" s="66"/>
    </row>
    <row r="13" spans="1:14" ht="16.2" thickBot="1">
      <c r="A13" s="137">
        <v>5</v>
      </c>
      <c r="B13" s="183">
        <v>-1105</v>
      </c>
      <c r="C13" s="114">
        <v>8.8999999999999999E-3</v>
      </c>
      <c r="D13" s="66"/>
      <c r="E13" s="66"/>
      <c r="F13" s="66"/>
      <c r="G13" s="66"/>
      <c r="H13" s="66"/>
      <c r="I13" s="66"/>
      <c r="J13" s="66"/>
      <c r="K13" s="66"/>
      <c r="L13" s="66"/>
      <c r="M13" s="66"/>
      <c r="N13" s="66"/>
    </row>
    <row r="14" spans="1:14" ht="16.2" thickBot="1">
      <c r="A14" s="137">
        <v>6</v>
      </c>
      <c r="B14" s="113">
        <v>-875</v>
      </c>
      <c r="C14" s="114">
        <v>1.1999999999999999E-3</v>
      </c>
      <c r="D14" s="66"/>
      <c r="E14" s="66"/>
      <c r="F14" s="66"/>
      <c r="G14" s="66"/>
      <c r="H14" s="66"/>
      <c r="I14" s="66"/>
      <c r="J14" s="66"/>
      <c r="K14" s="66"/>
      <c r="L14" s="66"/>
      <c r="M14" s="66"/>
      <c r="N14" s="66"/>
    </row>
    <row r="15" spans="1:14" ht="16.2" thickBot="1">
      <c r="A15" s="137">
        <v>7</v>
      </c>
      <c r="B15" s="183">
        <v>-1000</v>
      </c>
      <c r="C15" s="114">
        <v>2.5999999999999999E-2</v>
      </c>
      <c r="D15" s="66"/>
      <c r="E15" s="66"/>
      <c r="F15" s="66"/>
      <c r="G15" s="66"/>
      <c r="H15" s="66"/>
      <c r="I15" s="66"/>
      <c r="J15" s="66"/>
      <c r="K15" s="66"/>
      <c r="L15" s="66"/>
      <c r="M15" s="66"/>
      <c r="N15" s="66"/>
    </row>
    <row r="16" spans="1:14" ht="16.2" thickBot="1">
      <c r="A16" s="137">
        <v>8</v>
      </c>
      <c r="B16" s="183">
        <v>-1125</v>
      </c>
      <c r="C16" s="114">
        <v>1.5E-3</v>
      </c>
      <c r="D16" s="66"/>
      <c r="E16" s="66"/>
      <c r="F16" s="66"/>
      <c r="G16" s="66"/>
      <c r="H16" s="66"/>
      <c r="I16" s="66"/>
      <c r="J16" s="66"/>
      <c r="K16" s="66"/>
      <c r="L16" s="66"/>
      <c r="M16" s="66"/>
      <c r="N16" s="66"/>
    </row>
    <row r="17" spans="1:14" ht="16.2" thickBot="1">
      <c r="A17" s="137">
        <v>9</v>
      </c>
      <c r="B17" s="113">
        <v>-920</v>
      </c>
      <c r="C17" s="114">
        <v>6.1000000000000004E-3</v>
      </c>
      <c r="D17" s="66"/>
      <c r="E17" s="66"/>
      <c r="F17" s="66"/>
      <c r="G17" s="66"/>
      <c r="H17" s="66"/>
      <c r="I17" s="66"/>
      <c r="J17" s="66"/>
      <c r="K17" s="66"/>
      <c r="L17" s="66"/>
      <c r="M17" s="66"/>
      <c r="N17" s="66"/>
    </row>
    <row r="18" spans="1:14" ht="16.2" thickBot="1">
      <c r="A18" s="137">
        <v>10</v>
      </c>
      <c r="B18" s="183">
        <v>9450</v>
      </c>
      <c r="C18" s="114">
        <v>2.8999999999999998E-3</v>
      </c>
      <c r="D18" s="66"/>
      <c r="E18" s="66"/>
      <c r="F18" s="66"/>
      <c r="G18" s="66"/>
      <c r="H18" s="66"/>
      <c r="I18" s="66"/>
      <c r="J18" s="66"/>
      <c r="K18" s="66"/>
      <c r="L18" s="66"/>
      <c r="M18" s="66"/>
      <c r="N18" s="66"/>
    </row>
    <row r="19" spans="1:14" ht="15.6">
      <c r="A19" s="163"/>
      <c r="B19" s="66"/>
      <c r="C19" s="66"/>
      <c r="D19" s="66"/>
      <c r="E19" s="66"/>
      <c r="F19" s="66"/>
      <c r="G19" s="66"/>
      <c r="H19" s="66"/>
      <c r="I19" s="66"/>
      <c r="J19" s="66"/>
      <c r="K19" s="66"/>
      <c r="L19" s="66"/>
      <c r="M19" s="66"/>
      <c r="N19" s="66"/>
    </row>
    <row r="20" spans="1:14" ht="15.6">
      <c r="A20" s="104" t="s">
        <v>24</v>
      </c>
    </row>
    <row r="21" spans="1:14">
      <c r="A21" s="85"/>
    </row>
  </sheetData>
  <pageMargins left="0.7" right="0.7" top="0.75" bottom="0.75" header="0.3" footer="0.3"/>
  <pageSetup orientation="portrait" verticalDpi="90" r:id="rId1"/>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F48DD-81C7-4A77-A74C-7569046DB531}">
  <sheetPr codeName="Sheet48"/>
  <dimension ref="A1:N38"/>
  <sheetViews>
    <sheetView topLeftCell="A17" workbookViewId="0"/>
  </sheetViews>
  <sheetFormatPr defaultColWidth="9.21875" defaultRowHeight="14.4"/>
  <cols>
    <col min="1" max="1" width="13" style="67" customWidth="1"/>
    <col min="2" max="4" width="21" style="67" customWidth="1"/>
    <col min="5" max="6" width="17.21875" style="67" customWidth="1"/>
    <col min="7" max="16384" width="9.21875" style="67"/>
  </cols>
  <sheetData>
    <row r="1" spans="1:14" ht="17.399999999999999">
      <c r="A1" s="65" t="s">
        <v>472</v>
      </c>
      <c r="B1" s="66"/>
      <c r="C1" s="66"/>
      <c r="D1" s="66"/>
      <c r="E1" s="66"/>
      <c r="F1" s="66"/>
      <c r="G1" s="66"/>
      <c r="H1" s="66"/>
      <c r="I1" s="66"/>
      <c r="J1" s="66"/>
      <c r="K1" s="66"/>
      <c r="L1" s="66"/>
      <c r="M1" s="66"/>
      <c r="N1" s="66"/>
    </row>
    <row r="2" spans="1:14" ht="15.6">
      <c r="A2" s="68" t="s">
        <v>291</v>
      </c>
      <c r="B2" s="66"/>
      <c r="C2" s="66"/>
      <c r="D2" s="66"/>
      <c r="E2" s="66"/>
      <c r="F2" s="66"/>
      <c r="G2" s="66"/>
      <c r="H2" s="66"/>
      <c r="I2" s="66"/>
      <c r="J2" s="66"/>
      <c r="K2" s="66"/>
      <c r="L2" s="66"/>
      <c r="M2" s="66"/>
      <c r="N2" s="66"/>
    </row>
    <row r="3" spans="1:14" ht="15.6">
      <c r="A3" s="68" t="s">
        <v>473</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474</v>
      </c>
      <c r="B5" s="66"/>
      <c r="C5" s="66"/>
      <c r="D5" s="66"/>
      <c r="E5" s="66"/>
      <c r="F5" s="66"/>
      <c r="G5" s="66"/>
      <c r="H5" s="66"/>
      <c r="I5" s="66"/>
      <c r="J5" s="66"/>
      <c r="K5" s="66"/>
      <c r="L5" s="66"/>
      <c r="M5" s="66"/>
      <c r="N5" s="66"/>
    </row>
    <row r="6" spans="1:14" ht="16.2" thickBot="1">
      <c r="A6" s="108"/>
      <c r="B6" s="66"/>
      <c r="C6" s="66"/>
      <c r="D6" s="66"/>
      <c r="E6" s="66"/>
      <c r="F6" s="66"/>
      <c r="G6" s="66"/>
      <c r="H6" s="66"/>
      <c r="I6" s="66"/>
      <c r="J6" s="66"/>
      <c r="K6" s="66"/>
      <c r="L6" s="66"/>
      <c r="M6" s="66"/>
      <c r="N6" s="66"/>
    </row>
    <row r="7" spans="1:14" ht="16.2" thickBot="1">
      <c r="A7" s="188" t="s">
        <v>475</v>
      </c>
      <c r="B7" s="1151" t="s">
        <v>476</v>
      </c>
      <c r="C7" s="1152"/>
      <c r="D7" s="1153"/>
      <c r="E7" s="66"/>
      <c r="F7" s="66"/>
      <c r="G7" s="66"/>
      <c r="H7" s="66"/>
      <c r="I7" s="66"/>
      <c r="J7" s="66"/>
      <c r="K7" s="66"/>
      <c r="L7" s="66"/>
      <c r="M7" s="66"/>
      <c r="N7" s="66"/>
    </row>
    <row r="8" spans="1:14" ht="16.2" thickBot="1">
      <c r="A8" s="137" t="s">
        <v>477</v>
      </c>
      <c r="B8" s="1151" t="s">
        <v>478</v>
      </c>
      <c r="C8" s="1152"/>
      <c r="D8" s="1153"/>
      <c r="E8" s="66"/>
      <c r="F8" s="66"/>
      <c r="G8" s="66"/>
      <c r="H8" s="66"/>
      <c r="I8" s="66"/>
      <c r="J8" s="66"/>
      <c r="K8" s="66"/>
      <c r="L8" s="66"/>
      <c r="M8" s="66"/>
      <c r="N8" s="66"/>
    </row>
    <row r="9" spans="1:14" ht="16.2" thickBot="1">
      <c r="A9" s="137" t="s">
        <v>479</v>
      </c>
      <c r="B9" s="1151" t="s">
        <v>480</v>
      </c>
      <c r="C9" s="1152"/>
      <c r="D9" s="1153"/>
      <c r="E9" s="66"/>
      <c r="F9" s="66"/>
      <c r="G9" s="66"/>
      <c r="H9" s="66"/>
      <c r="I9" s="66"/>
      <c r="J9" s="66"/>
      <c r="K9" s="66"/>
      <c r="L9" s="66"/>
      <c r="M9" s="66"/>
      <c r="N9" s="66"/>
    </row>
    <row r="10" spans="1:14" ht="16.2" thickBot="1">
      <c r="A10" s="137" t="s">
        <v>481</v>
      </c>
      <c r="B10" s="1151" t="s">
        <v>482</v>
      </c>
      <c r="C10" s="1152"/>
      <c r="D10" s="1153"/>
      <c r="E10" s="66"/>
      <c r="F10" s="66"/>
      <c r="G10" s="66"/>
      <c r="H10" s="66"/>
      <c r="I10" s="66"/>
      <c r="J10" s="66"/>
      <c r="K10" s="66"/>
      <c r="L10" s="66"/>
      <c r="M10" s="66"/>
      <c r="N10" s="66"/>
    </row>
    <row r="11" spans="1:14" ht="16.2" thickBot="1">
      <c r="A11" s="137" t="s">
        <v>483</v>
      </c>
      <c r="B11" s="1151" t="s">
        <v>484</v>
      </c>
      <c r="C11" s="1152"/>
      <c r="D11" s="1153"/>
      <c r="E11" s="66"/>
      <c r="F11" s="66"/>
      <c r="G11" s="66"/>
      <c r="H11" s="66"/>
      <c r="I11" s="66"/>
      <c r="J11" s="66"/>
      <c r="K11" s="66"/>
      <c r="L11" s="66"/>
      <c r="M11" s="66"/>
      <c r="N11" s="66"/>
    </row>
    <row r="12" spans="1:14" ht="16.2" thickBot="1">
      <c r="A12" s="137" t="s">
        <v>485</v>
      </c>
      <c r="B12" s="1151" t="s">
        <v>486</v>
      </c>
      <c r="C12" s="1152"/>
      <c r="D12" s="1153"/>
      <c r="E12" s="66"/>
      <c r="F12" s="66"/>
      <c r="G12" s="66"/>
      <c r="H12" s="66"/>
      <c r="I12" s="66"/>
      <c r="J12" s="66"/>
      <c r="K12" s="66"/>
      <c r="L12" s="66"/>
      <c r="M12" s="66"/>
      <c r="N12" s="66"/>
    </row>
    <row r="13" spans="1:14" ht="16.2" thickBot="1">
      <c r="A13" s="137" t="s">
        <v>487</v>
      </c>
      <c r="B13" s="1151" t="s">
        <v>488</v>
      </c>
      <c r="C13" s="1152"/>
      <c r="D13" s="1153"/>
      <c r="E13" s="66"/>
      <c r="F13" s="66"/>
      <c r="G13" s="66"/>
      <c r="H13" s="66"/>
      <c r="I13" s="66"/>
      <c r="J13" s="66"/>
      <c r="K13" s="66"/>
      <c r="L13" s="66"/>
      <c r="M13" s="66"/>
      <c r="N13" s="66"/>
    </row>
    <row r="14" spans="1:14" ht="16.2" thickBot="1">
      <c r="A14" s="137" t="s">
        <v>489</v>
      </c>
      <c r="B14" s="1151" t="s">
        <v>490</v>
      </c>
      <c r="C14" s="1152"/>
      <c r="D14" s="1153"/>
      <c r="E14" s="66"/>
      <c r="F14" s="66"/>
      <c r="G14" s="66"/>
      <c r="H14" s="66"/>
      <c r="I14" s="66"/>
      <c r="J14" s="66"/>
      <c r="K14" s="66"/>
      <c r="L14" s="66"/>
      <c r="M14" s="66"/>
      <c r="N14" s="66"/>
    </row>
    <row r="15" spans="1:14">
      <c r="A15" s="66"/>
      <c r="B15" s="66"/>
      <c r="C15" s="66"/>
      <c r="D15" s="66"/>
      <c r="E15" s="66"/>
      <c r="F15" s="66"/>
      <c r="G15" s="66"/>
      <c r="H15" s="66"/>
      <c r="I15" s="66"/>
      <c r="J15" s="66"/>
      <c r="K15" s="66"/>
      <c r="L15" s="66"/>
      <c r="M15" s="66"/>
      <c r="N15" s="66"/>
    </row>
    <row r="16" spans="1:14" ht="15.6">
      <c r="A16" s="157" t="s">
        <v>491</v>
      </c>
      <c r="B16" s="66"/>
      <c r="C16" s="66"/>
      <c r="D16" s="66"/>
      <c r="E16" s="66"/>
      <c r="F16" s="66"/>
      <c r="G16" s="66"/>
      <c r="H16" s="66"/>
      <c r="I16" s="66"/>
      <c r="J16" s="66"/>
      <c r="K16" s="66"/>
      <c r="L16" s="66"/>
      <c r="M16" s="66"/>
      <c r="N16" s="66"/>
    </row>
    <row r="17" spans="1:14" ht="16.2" thickBot="1">
      <c r="A17" s="157"/>
      <c r="B17" s="66"/>
      <c r="C17" s="66"/>
      <c r="D17" s="66"/>
      <c r="E17" s="66"/>
      <c r="F17" s="66"/>
      <c r="G17" s="66"/>
      <c r="H17" s="66"/>
      <c r="I17" s="66"/>
      <c r="J17" s="66"/>
      <c r="K17" s="66"/>
      <c r="L17" s="66"/>
      <c r="M17" s="66"/>
      <c r="N17" s="66"/>
    </row>
    <row r="18" spans="1:14" ht="16.2" thickBot="1">
      <c r="A18" s="189" t="s">
        <v>492</v>
      </c>
      <c r="B18" s="190">
        <v>1.21</v>
      </c>
      <c r="C18" s="66"/>
      <c r="D18" s="66"/>
      <c r="E18" s="66"/>
      <c r="F18" s="66"/>
      <c r="G18" s="66"/>
      <c r="H18" s="66"/>
      <c r="I18" s="66"/>
      <c r="J18" s="66"/>
      <c r="K18" s="66"/>
      <c r="L18" s="66"/>
      <c r="M18" s="66"/>
      <c r="N18" s="66"/>
    </row>
    <row r="19" spans="1:14" ht="16.2" thickBot="1">
      <c r="A19" s="191" t="s">
        <v>492</v>
      </c>
      <c r="B19" s="185">
        <v>353.57</v>
      </c>
      <c r="C19" s="66"/>
      <c r="D19" s="66"/>
      <c r="E19" s="66"/>
      <c r="F19" s="66"/>
      <c r="G19" s="66"/>
      <c r="H19" s="66"/>
      <c r="I19" s="66"/>
      <c r="J19" s="66"/>
      <c r="K19" s="66"/>
      <c r="L19" s="66"/>
      <c r="M19" s="66"/>
      <c r="N19" s="66"/>
    </row>
    <row r="20" spans="1:14" ht="16.2" thickBot="1">
      <c r="A20" s="191" t="s">
        <v>492</v>
      </c>
      <c r="B20" s="185">
        <v>365.14</v>
      </c>
      <c r="C20" s="66"/>
      <c r="D20" s="66"/>
      <c r="E20" s="66"/>
      <c r="F20" s="66"/>
      <c r="G20" s="66"/>
      <c r="H20" s="66"/>
      <c r="I20" s="66"/>
      <c r="J20" s="66"/>
      <c r="K20" s="66"/>
      <c r="L20" s="66"/>
      <c r="M20" s="66"/>
      <c r="N20" s="66"/>
    </row>
    <row r="21" spans="1:14" ht="16.2" thickBot="1">
      <c r="A21" s="191" t="s">
        <v>492</v>
      </c>
      <c r="B21" s="185">
        <v>412.33</v>
      </c>
      <c r="C21" s="66"/>
      <c r="D21" s="66"/>
      <c r="E21" s="66"/>
      <c r="F21" s="66"/>
      <c r="G21" s="66"/>
      <c r="H21" s="66"/>
      <c r="I21" s="66"/>
      <c r="J21" s="66"/>
      <c r="K21" s="66"/>
      <c r="L21" s="66"/>
      <c r="M21" s="66"/>
      <c r="N21" s="66"/>
    </row>
    <row r="22" spans="1:14" ht="16.2" thickBot="1">
      <c r="A22" s="191" t="s">
        <v>492</v>
      </c>
      <c r="B22" s="185">
        <v>424.62</v>
      </c>
      <c r="C22" s="66"/>
      <c r="D22" s="66"/>
      <c r="E22" s="66"/>
      <c r="F22" s="66"/>
      <c r="G22" s="66"/>
      <c r="H22" s="66"/>
      <c r="I22" s="66"/>
      <c r="J22" s="66"/>
      <c r="K22" s="66"/>
      <c r="L22" s="66"/>
      <c r="M22" s="66"/>
      <c r="N22" s="66"/>
    </row>
    <row r="23" spans="1:14" ht="16.2" thickBot="1">
      <c r="A23" s="70"/>
      <c r="B23" s="66"/>
      <c r="C23" s="66"/>
      <c r="D23" s="66"/>
      <c r="E23" s="66"/>
      <c r="F23" s="66"/>
      <c r="G23" s="66"/>
      <c r="H23" s="66"/>
      <c r="I23" s="66"/>
      <c r="J23" s="66"/>
      <c r="K23" s="66"/>
      <c r="L23" s="66"/>
      <c r="M23" s="66"/>
      <c r="N23" s="66"/>
    </row>
    <row r="24" spans="1:14" ht="16.2" thickBot="1">
      <c r="A24" s="189" t="s">
        <v>492</v>
      </c>
      <c r="B24" s="190">
        <v>19.29</v>
      </c>
      <c r="C24" s="66"/>
      <c r="D24" s="66"/>
      <c r="E24" s="66"/>
      <c r="F24" s="66"/>
      <c r="G24" s="66"/>
      <c r="H24" s="66"/>
      <c r="I24" s="66"/>
      <c r="J24" s="66"/>
      <c r="K24" s="66"/>
      <c r="L24" s="66"/>
      <c r="M24" s="66"/>
      <c r="N24" s="66"/>
    </row>
    <row r="25" spans="1:14" ht="16.2" thickBot="1">
      <c r="A25" s="191" t="s">
        <v>492</v>
      </c>
      <c r="B25" s="185">
        <v>8.52</v>
      </c>
      <c r="C25" s="66"/>
      <c r="D25" s="66"/>
      <c r="E25" s="66"/>
      <c r="F25" s="66"/>
      <c r="G25" s="66"/>
      <c r="H25" s="66"/>
      <c r="I25" s="66"/>
      <c r="J25" s="66"/>
      <c r="K25" s="66"/>
      <c r="L25" s="66"/>
      <c r="M25" s="66"/>
      <c r="N25" s="66"/>
    </row>
    <row r="26" spans="1:14" ht="16.2" thickBot="1">
      <c r="A26" s="191" t="s">
        <v>492</v>
      </c>
      <c r="B26" s="185">
        <v>14.2</v>
      </c>
      <c r="C26" s="66"/>
      <c r="D26" s="66"/>
      <c r="E26" s="66"/>
      <c r="F26" s="66"/>
      <c r="G26" s="66"/>
      <c r="H26" s="66"/>
      <c r="I26" s="66"/>
      <c r="J26" s="66"/>
      <c r="K26" s="66"/>
      <c r="L26" s="66"/>
      <c r="M26" s="66"/>
      <c r="N26" s="66"/>
    </row>
    <row r="27" spans="1:14" ht="16.2" thickBot="1">
      <c r="A27" s="191" t="s">
        <v>492</v>
      </c>
      <c r="B27" s="185">
        <v>7.79</v>
      </c>
      <c r="C27" s="66"/>
      <c r="D27" s="66"/>
      <c r="E27" s="66"/>
      <c r="F27" s="66"/>
      <c r="G27" s="66"/>
      <c r="H27" s="66"/>
      <c r="I27" s="66"/>
      <c r="J27" s="66"/>
      <c r="K27" s="66"/>
      <c r="L27" s="66"/>
      <c r="M27" s="66"/>
      <c r="N27" s="66"/>
    </row>
    <row r="28" spans="1:14" ht="16.2" thickBot="1">
      <c r="A28" s="191" t="s">
        <v>492</v>
      </c>
      <c r="B28" s="185">
        <v>13.67</v>
      </c>
      <c r="C28" s="66"/>
      <c r="D28" s="66"/>
      <c r="E28" s="66"/>
      <c r="F28" s="66"/>
      <c r="G28" s="66"/>
      <c r="H28" s="66"/>
      <c r="I28" s="66"/>
      <c r="J28" s="66"/>
      <c r="K28" s="66"/>
      <c r="L28" s="66"/>
      <c r="M28" s="66"/>
      <c r="N28" s="66"/>
    </row>
    <row r="29" spans="1:14" ht="16.2" thickBot="1">
      <c r="A29" s="191" t="s">
        <v>492</v>
      </c>
      <c r="B29" s="185">
        <v>4.6399999999999997</v>
      </c>
      <c r="C29" s="66"/>
      <c r="D29" s="66"/>
      <c r="E29" s="66"/>
      <c r="F29" s="66"/>
      <c r="G29" s="66"/>
      <c r="H29" s="66"/>
      <c r="I29" s="66"/>
      <c r="J29" s="66"/>
      <c r="K29" s="66"/>
      <c r="L29" s="66"/>
      <c r="M29" s="66"/>
      <c r="N29" s="66"/>
    </row>
    <row r="30" spans="1:14" ht="16.2" thickBot="1">
      <c r="A30" s="191" t="s">
        <v>492</v>
      </c>
      <c r="B30" s="185">
        <v>11.46</v>
      </c>
      <c r="C30" s="66"/>
      <c r="D30" s="66"/>
      <c r="E30" s="66"/>
      <c r="F30" s="66"/>
      <c r="G30" s="66"/>
      <c r="H30" s="66"/>
      <c r="I30" s="66"/>
      <c r="J30" s="66"/>
      <c r="K30" s="66"/>
      <c r="L30" s="66"/>
      <c r="M30" s="66"/>
      <c r="N30" s="66"/>
    </row>
    <row r="31" spans="1:14" ht="16.2" thickBot="1">
      <c r="A31" s="191" t="s">
        <v>492</v>
      </c>
      <c r="B31" s="185">
        <v>3.78</v>
      </c>
      <c r="C31" s="66"/>
      <c r="D31" s="66"/>
      <c r="E31" s="66"/>
      <c r="F31" s="66"/>
      <c r="G31" s="66"/>
      <c r="H31" s="66"/>
      <c r="I31" s="66"/>
      <c r="J31" s="66"/>
      <c r="K31" s="66"/>
      <c r="L31" s="66"/>
      <c r="M31" s="66"/>
      <c r="N31" s="66"/>
    </row>
    <row r="32" spans="1:14" ht="16.2" thickBot="1">
      <c r="A32" s="191" t="s">
        <v>492</v>
      </c>
      <c r="B32" s="185">
        <v>10.87</v>
      </c>
      <c r="C32" s="66"/>
      <c r="D32" s="66"/>
      <c r="E32" s="66"/>
      <c r="F32" s="66"/>
      <c r="G32" s="66"/>
      <c r="H32" s="66"/>
      <c r="I32" s="66"/>
      <c r="J32" s="66"/>
      <c r="K32" s="66"/>
      <c r="L32" s="66"/>
      <c r="M32" s="66"/>
      <c r="N32" s="66"/>
    </row>
    <row r="33" spans="1:14" ht="15.6">
      <c r="A33" s="157"/>
      <c r="B33" s="66"/>
      <c r="C33" s="66"/>
      <c r="D33" s="66"/>
      <c r="E33" s="66"/>
      <c r="F33" s="66"/>
      <c r="G33" s="66"/>
      <c r="H33" s="66"/>
      <c r="I33" s="66"/>
      <c r="J33" s="66"/>
      <c r="K33" s="66"/>
      <c r="L33" s="66"/>
      <c r="M33" s="66"/>
      <c r="N33" s="66"/>
    </row>
    <row r="34" spans="1:14" ht="15.6">
      <c r="A34" s="157" t="s">
        <v>493</v>
      </c>
      <c r="B34" s="66"/>
      <c r="C34" s="66"/>
      <c r="D34" s="66"/>
      <c r="E34" s="66"/>
      <c r="F34" s="66"/>
      <c r="G34" s="66"/>
      <c r="H34" s="66"/>
      <c r="I34" s="66"/>
      <c r="J34" s="66"/>
      <c r="K34" s="66"/>
      <c r="L34" s="66"/>
      <c r="M34" s="66"/>
      <c r="N34" s="66"/>
    </row>
    <row r="35" spans="1:14" ht="15.6">
      <c r="A35" s="157"/>
      <c r="B35" s="66"/>
      <c r="C35" s="66"/>
      <c r="D35" s="66"/>
      <c r="E35" s="66"/>
      <c r="F35" s="66"/>
      <c r="G35" s="66"/>
      <c r="H35" s="66"/>
      <c r="I35" s="66"/>
      <c r="J35" s="66"/>
      <c r="K35" s="66"/>
      <c r="L35" s="66"/>
      <c r="M35" s="66"/>
      <c r="N35" s="66"/>
    </row>
    <row r="36" spans="1:14" ht="15.6">
      <c r="A36" s="157" t="s">
        <v>494</v>
      </c>
      <c r="B36" s="66"/>
      <c r="C36" s="66"/>
      <c r="D36" s="66"/>
      <c r="E36" s="66"/>
      <c r="F36" s="66"/>
      <c r="G36" s="66"/>
      <c r="H36" s="66"/>
      <c r="I36" s="66"/>
      <c r="J36" s="66"/>
      <c r="K36" s="66"/>
      <c r="L36" s="66"/>
      <c r="M36" s="66"/>
      <c r="N36" s="66"/>
    </row>
    <row r="37" spans="1:14" ht="15.6">
      <c r="A37" s="104" t="s">
        <v>24</v>
      </c>
    </row>
    <row r="38" spans="1:14">
      <c r="A38" s="85"/>
    </row>
  </sheetData>
  <mergeCells count="8">
    <mergeCell ref="B13:D13"/>
    <mergeCell ref="B14:D14"/>
    <mergeCell ref="B7:D7"/>
    <mergeCell ref="B8:D8"/>
    <mergeCell ref="B9:D9"/>
    <mergeCell ref="B10:D10"/>
    <mergeCell ref="B11:D11"/>
    <mergeCell ref="B12:D12"/>
  </mergeCells>
  <pageMargins left="0.7" right="0.7" top="0.75" bottom="0.75" header="0.3" footer="0.3"/>
  <pageSetup orientation="portrait" verticalDpi="90" r:id="rId1"/>
  <drawing r:id="rId2"/>
  <legacyDrawing r:id="rId3"/>
  <oleObjects>
    <mc:AlternateContent xmlns:mc="http://schemas.openxmlformats.org/markup-compatibility/2006">
      <mc:Choice Requires="x14">
        <oleObject progId="Equation.DSMT4" shapeId="32769" r:id="rId4">
          <objectPr defaultSize="0" autoPict="0" r:id="rId5">
            <anchor moveWithCells="1" sizeWithCells="1">
              <from>
                <xdr:col>0</xdr:col>
                <xdr:colOff>0</xdr:colOff>
                <xdr:row>17</xdr:row>
                <xdr:rowOff>0</xdr:rowOff>
              </from>
              <to>
                <xdr:col>0</xdr:col>
                <xdr:colOff>601980</xdr:colOff>
                <xdr:row>18</xdr:row>
                <xdr:rowOff>15240</xdr:rowOff>
              </to>
            </anchor>
          </objectPr>
        </oleObject>
      </mc:Choice>
      <mc:Fallback>
        <oleObject progId="Equation.DSMT4" shapeId="32769" r:id="rId4"/>
      </mc:Fallback>
    </mc:AlternateContent>
    <mc:AlternateContent xmlns:mc="http://schemas.openxmlformats.org/markup-compatibility/2006">
      <mc:Choice Requires="x14">
        <oleObject progId="Equation.DSMT4" shapeId="32770" r:id="rId6">
          <objectPr defaultSize="0" autoPict="0" r:id="rId7">
            <anchor moveWithCells="1" sizeWithCells="1">
              <from>
                <xdr:col>0</xdr:col>
                <xdr:colOff>0</xdr:colOff>
                <xdr:row>18</xdr:row>
                <xdr:rowOff>0</xdr:rowOff>
              </from>
              <to>
                <xdr:col>0</xdr:col>
                <xdr:colOff>510540</xdr:colOff>
                <xdr:row>19</xdr:row>
                <xdr:rowOff>15240</xdr:rowOff>
              </to>
            </anchor>
          </objectPr>
        </oleObject>
      </mc:Choice>
      <mc:Fallback>
        <oleObject progId="Equation.DSMT4" shapeId="32770" r:id="rId6"/>
      </mc:Fallback>
    </mc:AlternateContent>
    <mc:AlternateContent xmlns:mc="http://schemas.openxmlformats.org/markup-compatibility/2006">
      <mc:Choice Requires="x14">
        <oleObject progId="Equation.DSMT4" shapeId="32771" r:id="rId8">
          <objectPr defaultSize="0" autoPict="0" r:id="rId9">
            <anchor moveWithCells="1" sizeWithCells="1">
              <from>
                <xdr:col>0</xdr:col>
                <xdr:colOff>0</xdr:colOff>
                <xdr:row>19</xdr:row>
                <xdr:rowOff>0</xdr:rowOff>
              </from>
              <to>
                <xdr:col>0</xdr:col>
                <xdr:colOff>586740</xdr:colOff>
                <xdr:row>20</xdr:row>
                <xdr:rowOff>15240</xdr:rowOff>
              </to>
            </anchor>
          </objectPr>
        </oleObject>
      </mc:Choice>
      <mc:Fallback>
        <oleObject progId="Equation.DSMT4" shapeId="32771" r:id="rId8"/>
      </mc:Fallback>
    </mc:AlternateContent>
    <mc:AlternateContent xmlns:mc="http://schemas.openxmlformats.org/markup-compatibility/2006">
      <mc:Choice Requires="x14">
        <oleObject progId="Equation.DSMT4" shapeId="32772" r:id="rId10">
          <objectPr defaultSize="0" autoPict="0" r:id="rId11">
            <anchor moveWithCells="1" sizeWithCells="1">
              <from>
                <xdr:col>0</xdr:col>
                <xdr:colOff>0</xdr:colOff>
                <xdr:row>20</xdr:row>
                <xdr:rowOff>0</xdr:rowOff>
              </from>
              <to>
                <xdr:col>0</xdr:col>
                <xdr:colOff>586740</xdr:colOff>
                <xdr:row>21</xdr:row>
                <xdr:rowOff>15240</xdr:rowOff>
              </to>
            </anchor>
          </objectPr>
        </oleObject>
      </mc:Choice>
      <mc:Fallback>
        <oleObject progId="Equation.DSMT4" shapeId="32772" r:id="rId10"/>
      </mc:Fallback>
    </mc:AlternateContent>
    <mc:AlternateContent xmlns:mc="http://schemas.openxmlformats.org/markup-compatibility/2006">
      <mc:Choice Requires="x14">
        <oleObject progId="Equation.DSMT4" shapeId="32773" r:id="rId12">
          <objectPr defaultSize="0" autoPict="0" r:id="rId13">
            <anchor moveWithCells="1" sizeWithCells="1">
              <from>
                <xdr:col>0</xdr:col>
                <xdr:colOff>0</xdr:colOff>
                <xdr:row>21</xdr:row>
                <xdr:rowOff>0</xdr:rowOff>
              </from>
              <to>
                <xdr:col>0</xdr:col>
                <xdr:colOff>601980</xdr:colOff>
                <xdr:row>22</xdr:row>
                <xdr:rowOff>15240</xdr:rowOff>
              </to>
            </anchor>
          </objectPr>
        </oleObject>
      </mc:Choice>
      <mc:Fallback>
        <oleObject progId="Equation.DSMT4" shapeId="32773" r:id="rId12"/>
      </mc:Fallback>
    </mc:AlternateContent>
    <mc:AlternateContent xmlns:mc="http://schemas.openxmlformats.org/markup-compatibility/2006">
      <mc:Choice Requires="x14">
        <oleObject progId="Equation.DSMT4" shapeId="32774" r:id="rId14">
          <objectPr defaultSize="0" autoPict="0" r:id="rId15">
            <anchor moveWithCells="1" sizeWithCells="1">
              <from>
                <xdr:col>0</xdr:col>
                <xdr:colOff>0</xdr:colOff>
                <xdr:row>23</xdr:row>
                <xdr:rowOff>0</xdr:rowOff>
              </from>
              <to>
                <xdr:col>0</xdr:col>
                <xdr:colOff>167640</xdr:colOff>
                <xdr:row>24</xdr:row>
                <xdr:rowOff>15240</xdr:rowOff>
              </to>
            </anchor>
          </objectPr>
        </oleObject>
      </mc:Choice>
      <mc:Fallback>
        <oleObject progId="Equation.DSMT4" shapeId="32774" r:id="rId14"/>
      </mc:Fallback>
    </mc:AlternateContent>
    <mc:AlternateContent xmlns:mc="http://schemas.openxmlformats.org/markup-compatibility/2006">
      <mc:Choice Requires="x14">
        <oleObject progId="Equation.DSMT4" shapeId="32775" r:id="rId16">
          <objectPr defaultSize="0" autoPict="0" r:id="rId17">
            <anchor moveWithCells="1" sizeWithCells="1">
              <from>
                <xdr:col>0</xdr:col>
                <xdr:colOff>0</xdr:colOff>
                <xdr:row>24</xdr:row>
                <xdr:rowOff>0</xdr:rowOff>
              </from>
              <to>
                <xdr:col>0</xdr:col>
                <xdr:colOff>297180</xdr:colOff>
                <xdr:row>25</xdr:row>
                <xdr:rowOff>30480</xdr:rowOff>
              </to>
            </anchor>
          </objectPr>
        </oleObject>
      </mc:Choice>
      <mc:Fallback>
        <oleObject progId="Equation.DSMT4" shapeId="32775" r:id="rId16"/>
      </mc:Fallback>
    </mc:AlternateContent>
    <mc:AlternateContent xmlns:mc="http://schemas.openxmlformats.org/markup-compatibility/2006">
      <mc:Choice Requires="x14">
        <oleObject progId="Equation.DSMT4" shapeId="32776" r:id="rId18">
          <objectPr defaultSize="0" autoPict="0" r:id="rId19">
            <anchor moveWithCells="1" sizeWithCells="1">
              <from>
                <xdr:col>0</xdr:col>
                <xdr:colOff>0</xdr:colOff>
                <xdr:row>25</xdr:row>
                <xdr:rowOff>0</xdr:rowOff>
              </from>
              <to>
                <xdr:col>0</xdr:col>
                <xdr:colOff>297180</xdr:colOff>
                <xdr:row>26</xdr:row>
                <xdr:rowOff>30480</xdr:rowOff>
              </to>
            </anchor>
          </objectPr>
        </oleObject>
      </mc:Choice>
      <mc:Fallback>
        <oleObject progId="Equation.DSMT4" shapeId="32776" r:id="rId18"/>
      </mc:Fallback>
    </mc:AlternateContent>
    <mc:AlternateContent xmlns:mc="http://schemas.openxmlformats.org/markup-compatibility/2006">
      <mc:Choice Requires="x14">
        <oleObject progId="Equation.DSMT4" shapeId="32777" r:id="rId20">
          <objectPr defaultSize="0" autoPict="0" r:id="rId21">
            <anchor moveWithCells="1" sizeWithCells="1">
              <from>
                <xdr:col>0</xdr:col>
                <xdr:colOff>0</xdr:colOff>
                <xdr:row>26</xdr:row>
                <xdr:rowOff>0</xdr:rowOff>
              </from>
              <to>
                <xdr:col>0</xdr:col>
                <xdr:colOff>358140</xdr:colOff>
                <xdr:row>27</xdr:row>
                <xdr:rowOff>30480</xdr:rowOff>
              </to>
            </anchor>
          </objectPr>
        </oleObject>
      </mc:Choice>
      <mc:Fallback>
        <oleObject progId="Equation.DSMT4" shapeId="32777" r:id="rId20"/>
      </mc:Fallback>
    </mc:AlternateContent>
    <mc:AlternateContent xmlns:mc="http://schemas.openxmlformats.org/markup-compatibility/2006">
      <mc:Choice Requires="x14">
        <oleObject progId="Equation.DSMT4" shapeId="32778" r:id="rId22">
          <objectPr defaultSize="0" autoPict="0" r:id="rId23">
            <anchor moveWithCells="1" sizeWithCells="1">
              <from>
                <xdr:col>0</xdr:col>
                <xdr:colOff>0</xdr:colOff>
                <xdr:row>27</xdr:row>
                <xdr:rowOff>0</xdr:rowOff>
              </from>
              <to>
                <xdr:col>0</xdr:col>
                <xdr:colOff>381000</xdr:colOff>
                <xdr:row>28</xdr:row>
                <xdr:rowOff>30480</xdr:rowOff>
              </to>
            </anchor>
          </objectPr>
        </oleObject>
      </mc:Choice>
      <mc:Fallback>
        <oleObject progId="Equation.DSMT4" shapeId="32778" r:id="rId22"/>
      </mc:Fallback>
    </mc:AlternateContent>
    <mc:AlternateContent xmlns:mc="http://schemas.openxmlformats.org/markup-compatibility/2006">
      <mc:Choice Requires="x14">
        <oleObject progId="Equation.DSMT4" shapeId="32779" r:id="rId24">
          <objectPr defaultSize="0" autoPict="0" r:id="rId25">
            <anchor moveWithCells="1" sizeWithCells="1">
              <from>
                <xdr:col>0</xdr:col>
                <xdr:colOff>0</xdr:colOff>
                <xdr:row>28</xdr:row>
                <xdr:rowOff>0</xdr:rowOff>
              </from>
              <to>
                <xdr:col>0</xdr:col>
                <xdr:colOff>342900</xdr:colOff>
                <xdr:row>29</xdr:row>
                <xdr:rowOff>30480</xdr:rowOff>
              </to>
            </anchor>
          </objectPr>
        </oleObject>
      </mc:Choice>
      <mc:Fallback>
        <oleObject progId="Equation.DSMT4" shapeId="32779" r:id="rId24"/>
      </mc:Fallback>
    </mc:AlternateContent>
    <mc:AlternateContent xmlns:mc="http://schemas.openxmlformats.org/markup-compatibility/2006">
      <mc:Choice Requires="x14">
        <oleObject progId="Equation.DSMT4" shapeId="32780" r:id="rId26">
          <objectPr defaultSize="0" autoPict="0" r:id="rId27">
            <anchor moveWithCells="1" sizeWithCells="1">
              <from>
                <xdr:col>0</xdr:col>
                <xdr:colOff>0</xdr:colOff>
                <xdr:row>29</xdr:row>
                <xdr:rowOff>0</xdr:rowOff>
              </from>
              <to>
                <xdr:col>0</xdr:col>
                <xdr:colOff>396240</xdr:colOff>
                <xdr:row>30</xdr:row>
                <xdr:rowOff>30480</xdr:rowOff>
              </to>
            </anchor>
          </objectPr>
        </oleObject>
      </mc:Choice>
      <mc:Fallback>
        <oleObject progId="Equation.DSMT4" shapeId="32780" r:id="rId26"/>
      </mc:Fallback>
    </mc:AlternateContent>
    <mc:AlternateContent xmlns:mc="http://schemas.openxmlformats.org/markup-compatibility/2006">
      <mc:Choice Requires="x14">
        <oleObject progId="Equation.DSMT4" shapeId="32781" r:id="rId28">
          <objectPr defaultSize="0" autoPict="0" r:id="rId29">
            <anchor moveWithCells="1" sizeWithCells="1">
              <from>
                <xdr:col>0</xdr:col>
                <xdr:colOff>0</xdr:colOff>
                <xdr:row>30</xdr:row>
                <xdr:rowOff>0</xdr:rowOff>
              </from>
              <to>
                <xdr:col>0</xdr:col>
                <xdr:colOff>358140</xdr:colOff>
                <xdr:row>31</xdr:row>
                <xdr:rowOff>30480</xdr:rowOff>
              </to>
            </anchor>
          </objectPr>
        </oleObject>
      </mc:Choice>
      <mc:Fallback>
        <oleObject progId="Equation.DSMT4" shapeId="32781" r:id="rId28"/>
      </mc:Fallback>
    </mc:AlternateContent>
    <mc:AlternateContent xmlns:mc="http://schemas.openxmlformats.org/markup-compatibility/2006">
      <mc:Choice Requires="x14">
        <oleObject progId="Equation.DSMT4" shapeId="32782" r:id="rId30">
          <objectPr defaultSize="0" autoPict="0" r:id="rId31">
            <anchor moveWithCells="1" sizeWithCells="1">
              <from>
                <xdr:col>0</xdr:col>
                <xdr:colOff>0</xdr:colOff>
                <xdr:row>31</xdr:row>
                <xdr:rowOff>0</xdr:rowOff>
              </from>
              <to>
                <xdr:col>0</xdr:col>
                <xdr:colOff>411480</xdr:colOff>
                <xdr:row>32</xdr:row>
                <xdr:rowOff>30480</xdr:rowOff>
              </to>
            </anchor>
          </objectPr>
        </oleObject>
      </mc:Choice>
      <mc:Fallback>
        <oleObject progId="Equation.DSMT4" shapeId="32782" r:id="rId30"/>
      </mc:Fallback>
    </mc:AlternateContent>
  </oleObjects>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39A33-B3C7-4986-B863-3DD1556D8794}">
  <sheetPr codeName="Sheet52"/>
  <dimension ref="A1:N56"/>
  <sheetViews>
    <sheetView topLeftCell="A52" workbookViewId="0"/>
  </sheetViews>
  <sheetFormatPr defaultColWidth="9.21875" defaultRowHeight="14.4"/>
  <cols>
    <col min="1" max="1" width="13" style="67" customWidth="1"/>
    <col min="2" max="4" width="21" style="67" customWidth="1"/>
    <col min="5" max="6" width="17.21875" style="67" customWidth="1"/>
    <col min="7" max="16384" width="9.21875" style="67"/>
  </cols>
  <sheetData>
    <row r="1" spans="1:14" ht="17.399999999999999">
      <c r="A1" s="65" t="s">
        <v>472</v>
      </c>
      <c r="B1" s="66"/>
      <c r="C1" s="66"/>
      <c r="D1" s="66"/>
      <c r="E1" s="66"/>
      <c r="F1" s="66"/>
      <c r="G1" s="66"/>
      <c r="H1" s="66"/>
      <c r="I1" s="66"/>
      <c r="J1" s="66"/>
      <c r="K1" s="66"/>
      <c r="L1" s="66"/>
      <c r="M1" s="66"/>
      <c r="N1" s="66"/>
    </row>
    <row r="2" spans="1:14" ht="15.6">
      <c r="A2" s="68" t="s">
        <v>291</v>
      </c>
      <c r="B2" s="66"/>
      <c r="C2" s="66"/>
      <c r="D2" s="66"/>
      <c r="E2" s="66"/>
      <c r="F2" s="66"/>
      <c r="G2" s="66"/>
      <c r="H2" s="66"/>
      <c r="I2" s="66"/>
      <c r="J2" s="66"/>
      <c r="K2" s="66"/>
      <c r="L2" s="66"/>
      <c r="M2" s="66"/>
      <c r="N2" s="66"/>
    </row>
    <row r="3" spans="1:14" ht="15.6">
      <c r="A3" s="68" t="s">
        <v>473</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474</v>
      </c>
      <c r="B5" s="66"/>
      <c r="C5" s="66"/>
      <c r="D5" s="66"/>
      <c r="E5" s="66"/>
      <c r="F5" s="66"/>
      <c r="G5" s="66"/>
      <c r="H5" s="66"/>
      <c r="I5" s="66"/>
      <c r="J5" s="66"/>
      <c r="K5" s="66"/>
      <c r="L5" s="66"/>
      <c r="M5" s="66"/>
      <c r="N5" s="66"/>
    </row>
    <row r="6" spans="1:14" ht="16.2" thickBot="1">
      <c r="A6" s="108"/>
      <c r="B6" s="66"/>
      <c r="C6" s="66"/>
      <c r="D6" s="66"/>
      <c r="E6" s="66"/>
      <c r="F6" s="66"/>
      <c r="G6" s="66"/>
      <c r="H6" s="66"/>
      <c r="I6" s="66"/>
      <c r="J6" s="66"/>
      <c r="K6" s="66"/>
      <c r="L6" s="66"/>
      <c r="M6" s="66"/>
      <c r="N6" s="66"/>
    </row>
    <row r="7" spans="1:14" ht="16.2" thickBot="1">
      <c r="A7" s="188" t="s">
        <v>475</v>
      </c>
      <c r="B7" s="1151" t="s">
        <v>476</v>
      </c>
      <c r="C7" s="1152"/>
      <c r="D7" s="1153"/>
      <c r="E7" s="66"/>
      <c r="F7" s="66"/>
      <c r="G7" s="66"/>
      <c r="H7" s="66"/>
      <c r="I7" s="66"/>
      <c r="J7" s="66"/>
      <c r="K7" s="66"/>
      <c r="L7" s="66"/>
      <c r="M7" s="66"/>
      <c r="N7" s="66"/>
    </row>
    <row r="8" spans="1:14" ht="16.2" thickBot="1">
      <c r="A8" s="137" t="s">
        <v>477</v>
      </c>
      <c r="B8" s="1151" t="s">
        <v>478</v>
      </c>
      <c r="C8" s="1152"/>
      <c r="D8" s="1153"/>
      <c r="E8" s="66"/>
      <c r="F8" s="66"/>
      <c r="G8" s="66"/>
      <c r="H8" s="66"/>
      <c r="I8" s="66"/>
      <c r="J8" s="66"/>
      <c r="K8" s="66"/>
      <c r="L8" s="66"/>
      <c r="M8" s="66"/>
      <c r="N8" s="66"/>
    </row>
    <row r="9" spans="1:14" ht="16.2" thickBot="1">
      <c r="A9" s="137" t="s">
        <v>479</v>
      </c>
      <c r="B9" s="1151" t="s">
        <v>480</v>
      </c>
      <c r="C9" s="1152"/>
      <c r="D9" s="1153"/>
      <c r="E9" s="66"/>
      <c r="F9" s="66"/>
      <c r="G9" s="66"/>
      <c r="H9" s="66"/>
      <c r="I9" s="66"/>
      <c r="J9" s="66"/>
      <c r="K9" s="66"/>
      <c r="L9" s="66"/>
      <c r="M9" s="66"/>
      <c r="N9" s="66"/>
    </row>
    <row r="10" spans="1:14" ht="16.2" thickBot="1">
      <c r="A10" s="137" t="s">
        <v>481</v>
      </c>
      <c r="B10" s="1151" t="s">
        <v>482</v>
      </c>
      <c r="C10" s="1152"/>
      <c r="D10" s="1153"/>
      <c r="E10" s="66"/>
      <c r="F10" s="66"/>
      <c r="G10" s="66"/>
      <c r="H10" s="66"/>
      <c r="I10" s="66"/>
      <c r="J10" s="66"/>
      <c r="K10" s="66"/>
      <c r="L10" s="66"/>
      <c r="M10" s="66"/>
      <c r="N10" s="66"/>
    </row>
    <row r="11" spans="1:14" ht="16.2" thickBot="1">
      <c r="A11" s="137" t="s">
        <v>483</v>
      </c>
      <c r="B11" s="1151" t="s">
        <v>484</v>
      </c>
      <c r="C11" s="1152"/>
      <c r="D11" s="1153"/>
      <c r="E11" s="66"/>
      <c r="F11" s="66"/>
      <c r="G11" s="66"/>
      <c r="H11" s="66"/>
      <c r="I11" s="66"/>
      <c r="J11" s="66"/>
      <c r="K11" s="66"/>
      <c r="L11" s="66"/>
      <c r="M11" s="66"/>
      <c r="N11" s="66"/>
    </row>
    <row r="12" spans="1:14" ht="16.2" thickBot="1">
      <c r="A12" s="137" t="s">
        <v>485</v>
      </c>
      <c r="B12" s="1151" t="s">
        <v>486</v>
      </c>
      <c r="C12" s="1152"/>
      <c r="D12" s="1153"/>
      <c r="E12" s="66"/>
      <c r="F12" s="66"/>
      <c r="G12" s="66"/>
      <c r="H12" s="66"/>
      <c r="I12" s="66"/>
      <c r="J12" s="66"/>
      <c r="K12" s="66"/>
      <c r="L12" s="66"/>
      <c r="M12" s="66"/>
      <c r="N12" s="66"/>
    </row>
    <row r="13" spans="1:14" ht="16.2" thickBot="1">
      <c r="A13" s="137" t="s">
        <v>487</v>
      </c>
      <c r="B13" s="1151" t="s">
        <v>488</v>
      </c>
      <c r="C13" s="1152"/>
      <c r="D13" s="1153"/>
      <c r="E13" s="66"/>
      <c r="F13" s="66"/>
      <c r="G13" s="66"/>
      <c r="H13" s="66"/>
      <c r="I13" s="66"/>
      <c r="J13" s="66"/>
      <c r="K13" s="66"/>
      <c r="L13" s="66"/>
      <c r="M13" s="66"/>
      <c r="N13" s="66"/>
    </row>
    <row r="14" spans="1:14" ht="16.2" thickBot="1">
      <c r="A14" s="137" t="s">
        <v>489</v>
      </c>
      <c r="B14" s="1151" t="s">
        <v>490</v>
      </c>
      <c r="C14" s="1152"/>
      <c r="D14" s="1153"/>
      <c r="E14" s="66"/>
      <c r="F14" s="66"/>
      <c r="G14" s="66"/>
      <c r="H14" s="66"/>
      <c r="I14" s="66"/>
      <c r="J14" s="66"/>
      <c r="K14" s="66"/>
      <c r="L14" s="66"/>
      <c r="M14" s="66"/>
      <c r="N14" s="66"/>
    </row>
    <row r="15" spans="1:14">
      <c r="A15" s="66"/>
      <c r="B15" s="66"/>
      <c r="C15" s="66"/>
      <c r="D15" s="66"/>
      <c r="E15" s="66"/>
      <c r="F15" s="66"/>
      <c r="G15" s="66"/>
      <c r="H15" s="66"/>
      <c r="I15" s="66"/>
      <c r="J15" s="66"/>
      <c r="K15" s="66"/>
      <c r="L15" s="66"/>
      <c r="M15" s="66"/>
      <c r="N15" s="66"/>
    </row>
    <row r="16" spans="1:14" ht="15.6">
      <c r="A16" s="157" t="s">
        <v>491</v>
      </c>
      <c r="B16" s="66"/>
      <c r="C16" s="66"/>
      <c r="D16" s="66"/>
      <c r="E16" s="66"/>
      <c r="F16" s="66"/>
      <c r="G16" s="66"/>
      <c r="H16" s="66"/>
      <c r="I16" s="66"/>
      <c r="J16" s="66"/>
      <c r="K16" s="66"/>
      <c r="L16" s="66"/>
      <c r="M16" s="66"/>
      <c r="N16" s="66"/>
    </row>
    <row r="17" spans="1:14" ht="16.2" thickBot="1">
      <c r="A17" s="157"/>
      <c r="B17" s="66"/>
      <c r="C17" s="66"/>
      <c r="D17" s="66"/>
      <c r="E17" s="66"/>
      <c r="F17" s="66"/>
      <c r="G17" s="66"/>
      <c r="H17" s="66"/>
      <c r="I17" s="66"/>
      <c r="J17" s="66"/>
      <c r="K17" s="66"/>
      <c r="L17" s="66"/>
      <c r="M17" s="66"/>
      <c r="N17" s="66"/>
    </row>
    <row r="18" spans="1:14" ht="16.2" thickBot="1">
      <c r="A18" s="189" t="s">
        <v>492</v>
      </c>
      <c r="B18" s="190">
        <v>1.21</v>
      </c>
      <c r="C18" s="66"/>
      <c r="D18" s="66"/>
      <c r="E18" s="66"/>
      <c r="F18" s="66"/>
      <c r="G18" s="66"/>
      <c r="H18" s="66"/>
      <c r="I18" s="66"/>
      <c r="J18" s="66"/>
      <c r="K18" s="66"/>
      <c r="L18" s="66"/>
      <c r="M18" s="66"/>
      <c r="N18" s="66"/>
    </row>
    <row r="19" spans="1:14" ht="16.2" thickBot="1">
      <c r="A19" s="191" t="s">
        <v>492</v>
      </c>
      <c r="B19" s="185">
        <v>353.57</v>
      </c>
      <c r="C19" s="66"/>
      <c r="D19" s="66"/>
      <c r="E19" s="66"/>
      <c r="F19" s="66"/>
      <c r="G19" s="66"/>
      <c r="H19" s="66"/>
      <c r="I19" s="66"/>
      <c r="J19" s="66"/>
      <c r="K19" s="66"/>
      <c r="L19" s="66"/>
      <c r="M19" s="66"/>
      <c r="N19" s="66"/>
    </row>
    <row r="20" spans="1:14" ht="16.2" thickBot="1">
      <c r="A20" s="191" t="s">
        <v>492</v>
      </c>
      <c r="B20" s="185">
        <v>365.14</v>
      </c>
      <c r="C20" s="66"/>
      <c r="D20" s="66"/>
      <c r="E20" s="66"/>
      <c r="F20" s="66"/>
      <c r="G20" s="66"/>
      <c r="H20" s="66"/>
      <c r="I20" s="66"/>
      <c r="J20" s="66"/>
      <c r="K20" s="66"/>
      <c r="L20" s="66"/>
      <c r="M20" s="66"/>
      <c r="N20" s="66"/>
    </row>
    <row r="21" spans="1:14" ht="16.2" thickBot="1">
      <c r="A21" s="191" t="s">
        <v>492</v>
      </c>
      <c r="B21" s="185">
        <v>412.33</v>
      </c>
      <c r="C21" s="66"/>
      <c r="D21" s="66"/>
      <c r="E21" s="66"/>
      <c r="F21" s="66"/>
      <c r="G21" s="66"/>
      <c r="H21" s="66"/>
      <c r="I21" s="66"/>
      <c r="J21" s="66"/>
      <c r="K21" s="66"/>
      <c r="L21" s="66"/>
      <c r="M21" s="66"/>
      <c r="N21" s="66"/>
    </row>
    <row r="22" spans="1:14" ht="16.2" thickBot="1">
      <c r="A22" s="191" t="s">
        <v>492</v>
      </c>
      <c r="B22" s="185">
        <v>424.62</v>
      </c>
      <c r="C22" s="66"/>
      <c r="D22" s="66"/>
      <c r="E22" s="66"/>
      <c r="F22" s="66"/>
      <c r="G22" s="66"/>
      <c r="H22" s="66"/>
      <c r="I22" s="66"/>
      <c r="J22" s="66"/>
      <c r="K22" s="66"/>
      <c r="L22" s="66"/>
      <c r="M22" s="66"/>
      <c r="N22" s="66"/>
    </row>
    <row r="23" spans="1:14" ht="16.2" thickBot="1">
      <c r="A23" s="70"/>
      <c r="B23" s="66"/>
      <c r="C23" s="66"/>
      <c r="D23" s="66"/>
      <c r="E23" s="66"/>
      <c r="F23" s="66"/>
      <c r="G23" s="66"/>
      <c r="H23" s="66"/>
      <c r="I23" s="66"/>
      <c r="J23" s="66"/>
      <c r="K23" s="66"/>
      <c r="L23" s="66"/>
      <c r="M23" s="66"/>
      <c r="N23" s="66"/>
    </row>
    <row r="24" spans="1:14" ht="16.2" thickBot="1">
      <c r="A24" s="189" t="s">
        <v>492</v>
      </c>
      <c r="B24" s="190">
        <v>19.29</v>
      </c>
      <c r="C24" s="66"/>
      <c r="D24" s="66"/>
      <c r="E24" s="66"/>
      <c r="F24" s="66"/>
      <c r="G24" s="66"/>
      <c r="H24" s="66"/>
      <c r="I24" s="66"/>
      <c r="J24" s="66"/>
      <c r="K24" s="66"/>
      <c r="L24" s="66"/>
      <c r="M24" s="66"/>
      <c r="N24" s="66"/>
    </row>
    <row r="25" spans="1:14" ht="16.2" thickBot="1">
      <c r="A25" s="191" t="s">
        <v>492</v>
      </c>
      <c r="B25" s="185">
        <v>8.52</v>
      </c>
      <c r="C25" s="66"/>
      <c r="D25" s="66"/>
      <c r="E25" s="66"/>
      <c r="F25" s="66"/>
      <c r="G25" s="66"/>
      <c r="H25" s="66"/>
      <c r="I25" s="66"/>
      <c r="J25" s="66"/>
      <c r="K25" s="66"/>
      <c r="L25" s="66"/>
      <c r="M25" s="66"/>
      <c r="N25" s="66"/>
    </row>
    <row r="26" spans="1:14" ht="16.2" thickBot="1">
      <c r="A26" s="191" t="s">
        <v>492</v>
      </c>
      <c r="B26" s="185">
        <v>14.2</v>
      </c>
      <c r="C26" s="66"/>
      <c r="D26" s="66"/>
      <c r="E26" s="66"/>
      <c r="F26" s="66"/>
      <c r="G26" s="66"/>
      <c r="H26" s="66"/>
      <c r="I26" s="66"/>
      <c r="J26" s="66"/>
      <c r="K26" s="66"/>
      <c r="L26" s="66"/>
      <c r="M26" s="66"/>
      <c r="N26" s="66"/>
    </row>
    <row r="27" spans="1:14" ht="16.2" thickBot="1">
      <c r="A27" s="191" t="s">
        <v>492</v>
      </c>
      <c r="B27" s="185">
        <v>7.79</v>
      </c>
      <c r="C27" s="66"/>
      <c r="D27" s="66"/>
      <c r="E27" s="66"/>
      <c r="F27" s="66"/>
      <c r="G27" s="66"/>
      <c r="H27" s="66"/>
      <c r="I27" s="66"/>
      <c r="J27" s="66"/>
      <c r="K27" s="66"/>
      <c r="L27" s="66"/>
      <c r="M27" s="66"/>
      <c r="N27" s="66"/>
    </row>
    <row r="28" spans="1:14" ht="16.2" thickBot="1">
      <c r="A28" s="191" t="s">
        <v>492</v>
      </c>
      <c r="B28" s="185">
        <v>13.67</v>
      </c>
      <c r="C28" s="66"/>
      <c r="D28" s="66"/>
      <c r="E28" s="66"/>
      <c r="F28" s="66"/>
      <c r="G28" s="66"/>
      <c r="H28" s="66"/>
      <c r="I28" s="66"/>
      <c r="J28" s="66"/>
      <c r="K28" s="66"/>
      <c r="L28" s="66"/>
      <c r="M28" s="66"/>
      <c r="N28" s="66"/>
    </row>
    <row r="29" spans="1:14" ht="16.2" thickBot="1">
      <c r="A29" s="191" t="s">
        <v>492</v>
      </c>
      <c r="B29" s="185">
        <v>4.6399999999999997</v>
      </c>
      <c r="C29" s="66"/>
      <c r="D29" s="66"/>
      <c r="E29" s="66"/>
      <c r="F29" s="66"/>
      <c r="G29" s="66"/>
      <c r="H29" s="66"/>
      <c r="I29" s="66"/>
      <c r="J29" s="66"/>
      <c r="K29" s="66"/>
      <c r="L29" s="66"/>
      <c r="M29" s="66"/>
      <c r="N29" s="66"/>
    </row>
    <row r="30" spans="1:14" ht="16.2" thickBot="1">
      <c r="A30" s="191" t="s">
        <v>492</v>
      </c>
      <c r="B30" s="185">
        <v>11.46</v>
      </c>
      <c r="C30" s="66"/>
      <c r="D30" s="66"/>
      <c r="E30" s="66"/>
      <c r="F30" s="66"/>
      <c r="G30" s="66"/>
      <c r="H30" s="66"/>
      <c r="I30" s="66"/>
      <c r="J30" s="66"/>
      <c r="K30" s="66"/>
      <c r="L30" s="66"/>
      <c r="M30" s="66"/>
      <c r="N30" s="66"/>
    </row>
    <row r="31" spans="1:14" ht="16.2" thickBot="1">
      <c r="A31" s="191" t="s">
        <v>492</v>
      </c>
      <c r="B31" s="185">
        <v>3.78</v>
      </c>
      <c r="C31" s="66"/>
      <c r="D31" s="66"/>
      <c r="E31" s="66"/>
      <c r="F31" s="66"/>
      <c r="G31" s="66"/>
      <c r="H31" s="66"/>
      <c r="I31" s="66"/>
      <c r="J31" s="66"/>
      <c r="K31" s="66"/>
      <c r="L31" s="66"/>
      <c r="M31" s="66"/>
      <c r="N31" s="66"/>
    </row>
    <row r="32" spans="1:14" ht="16.2" thickBot="1">
      <c r="A32" s="191" t="s">
        <v>492</v>
      </c>
      <c r="B32" s="185">
        <v>10.87</v>
      </c>
      <c r="C32" s="66"/>
      <c r="D32" s="66"/>
      <c r="E32" s="66"/>
      <c r="F32" s="66"/>
      <c r="G32" s="66"/>
      <c r="H32" s="66"/>
      <c r="I32" s="66"/>
      <c r="J32" s="66"/>
      <c r="K32" s="66"/>
      <c r="L32" s="66"/>
      <c r="M32" s="66"/>
      <c r="N32" s="66"/>
    </row>
    <row r="33" spans="1:14" ht="15.6">
      <c r="A33" s="157"/>
      <c r="B33" s="66"/>
      <c r="C33" s="66"/>
      <c r="D33" s="66"/>
      <c r="E33" s="66"/>
      <c r="F33" s="66"/>
      <c r="G33" s="66"/>
      <c r="H33" s="66"/>
      <c r="I33" s="66"/>
      <c r="J33" s="66"/>
      <c r="K33" s="66"/>
      <c r="L33" s="66"/>
      <c r="M33" s="66"/>
      <c r="N33" s="66"/>
    </row>
    <row r="34" spans="1:14" ht="15.6">
      <c r="A34" s="157" t="s">
        <v>493</v>
      </c>
      <c r="B34" s="66"/>
      <c r="C34" s="66"/>
      <c r="D34" s="66"/>
      <c r="E34" s="66"/>
      <c r="F34" s="66"/>
      <c r="G34" s="66"/>
      <c r="H34" s="66"/>
      <c r="I34" s="66"/>
      <c r="J34" s="66"/>
      <c r="K34" s="66"/>
      <c r="L34" s="66"/>
      <c r="M34" s="66"/>
      <c r="N34" s="66"/>
    </row>
    <row r="35" spans="1:14" ht="15.6">
      <c r="A35" s="157"/>
      <c r="B35" s="66"/>
      <c r="C35" s="66"/>
      <c r="D35" s="66"/>
      <c r="E35" s="66"/>
      <c r="F35" s="66"/>
      <c r="G35" s="66"/>
      <c r="H35" s="66"/>
      <c r="I35" s="66"/>
      <c r="J35" s="66"/>
      <c r="K35" s="66"/>
      <c r="L35" s="66"/>
      <c r="M35" s="66"/>
      <c r="N35" s="66"/>
    </row>
    <row r="36" spans="1:14" ht="15.6">
      <c r="A36" s="157" t="s">
        <v>495</v>
      </c>
      <c r="B36" s="66"/>
      <c r="C36" s="66"/>
      <c r="D36" s="66"/>
      <c r="E36" s="66"/>
      <c r="F36" s="66"/>
      <c r="G36" s="66"/>
      <c r="H36" s="66"/>
      <c r="I36" s="66"/>
      <c r="J36" s="66"/>
      <c r="K36" s="66"/>
      <c r="L36" s="66"/>
      <c r="M36" s="66"/>
      <c r="N36" s="66"/>
    </row>
    <row r="37" spans="1:14" ht="16.2" thickBot="1">
      <c r="A37" s="157"/>
      <c r="B37" s="66"/>
      <c r="C37" s="66"/>
      <c r="D37" s="66"/>
      <c r="E37" s="66"/>
      <c r="F37" s="66"/>
      <c r="G37" s="66"/>
      <c r="H37" s="66"/>
      <c r="I37" s="66"/>
      <c r="J37" s="66"/>
      <c r="K37" s="66"/>
      <c r="L37" s="66"/>
      <c r="M37" s="66"/>
      <c r="N37" s="66"/>
    </row>
    <row r="38" spans="1:14" ht="16.2" thickBot="1">
      <c r="A38" s="192"/>
      <c r="B38" s="1063" t="s">
        <v>496</v>
      </c>
      <c r="C38" s="1064"/>
      <c r="D38" s="1064"/>
      <c r="E38" s="1064"/>
      <c r="F38" s="1069"/>
      <c r="G38" s="66"/>
      <c r="H38" s="66"/>
      <c r="I38" s="66"/>
      <c r="J38" s="66"/>
      <c r="K38" s="66"/>
      <c r="L38" s="66"/>
      <c r="M38" s="66"/>
      <c r="N38" s="66"/>
    </row>
    <row r="39" spans="1:14" ht="39" customHeight="1">
      <c r="A39" s="1154" t="s">
        <v>497</v>
      </c>
      <c r="B39" s="1147" t="s">
        <v>498</v>
      </c>
      <c r="C39" s="1156" t="s">
        <v>499</v>
      </c>
      <c r="D39" s="1156" t="s">
        <v>500</v>
      </c>
      <c r="E39" s="1156" t="s">
        <v>501</v>
      </c>
      <c r="F39" s="1156" t="s">
        <v>502</v>
      </c>
      <c r="G39" s="66"/>
      <c r="H39" s="66"/>
      <c r="I39" s="66"/>
      <c r="J39" s="66"/>
      <c r="K39" s="66"/>
      <c r="L39" s="66"/>
      <c r="M39" s="66"/>
      <c r="N39" s="66"/>
    </row>
    <row r="40" spans="1:14" ht="15" thickBot="1">
      <c r="A40" s="1155"/>
      <c r="B40" s="1148"/>
      <c r="C40" s="1157"/>
      <c r="D40" s="1157"/>
      <c r="E40" s="1157"/>
      <c r="F40" s="1157"/>
      <c r="G40" s="66"/>
      <c r="H40" s="66"/>
      <c r="I40" s="66"/>
      <c r="J40" s="66"/>
      <c r="K40" s="66"/>
      <c r="L40" s="66"/>
      <c r="M40" s="66"/>
      <c r="N40" s="66"/>
    </row>
    <row r="41" spans="1:14" ht="15.6">
      <c r="A41" s="1154" t="s">
        <v>503</v>
      </c>
      <c r="B41" s="194" t="s">
        <v>504</v>
      </c>
      <c r="C41" s="194" t="s">
        <v>504</v>
      </c>
      <c r="D41" s="194" t="s">
        <v>504</v>
      </c>
      <c r="E41" s="194" t="s">
        <v>504</v>
      </c>
      <c r="F41" s="194" t="s">
        <v>504</v>
      </c>
      <c r="G41" s="66"/>
      <c r="H41" s="66"/>
      <c r="I41" s="66"/>
      <c r="J41" s="66"/>
      <c r="K41" s="66"/>
      <c r="L41" s="66"/>
      <c r="M41" s="66"/>
      <c r="N41" s="66"/>
    </row>
    <row r="42" spans="1:14" ht="16.2" thickBot="1">
      <c r="A42" s="1155"/>
      <c r="B42" s="172" t="s">
        <v>505</v>
      </c>
      <c r="C42" s="172" t="s">
        <v>506</v>
      </c>
      <c r="D42" s="172" t="s">
        <v>505</v>
      </c>
      <c r="E42" s="172" t="s">
        <v>506</v>
      </c>
      <c r="F42" s="172" t="s">
        <v>505</v>
      </c>
      <c r="G42" s="66"/>
      <c r="H42" s="66"/>
      <c r="I42" s="66"/>
      <c r="J42" s="66"/>
      <c r="K42" s="66"/>
      <c r="L42" s="66"/>
      <c r="M42" s="66"/>
      <c r="N42" s="66"/>
    </row>
    <row r="43" spans="1:14" ht="16.2" thickBot="1">
      <c r="A43" s="193" t="s">
        <v>507</v>
      </c>
      <c r="B43" s="185">
        <v>15</v>
      </c>
      <c r="C43" s="185">
        <v>19</v>
      </c>
      <c r="D43" s="185">
        <v>44</v>
      </c>
      <c r="E43" s="185">
        <v>26</v>
      </c>
      <c r="F43" s="185">
        <v>44</v>
      </c>
      <c r="G43" s="66"/>
      <c r="H43" s="66"/>
      <c r="I43" s="66"/>
      <c r="J43" s="66"/>
      <c r="K43" s="66"/>
      <c r="L43" s="66"/>
      <c r="M43" s="66"/>
      <c r="N43" s="66"/>
    </row>
    <row r="44" spans="1:14" ht="16.2" thickBot="1">
      <c r="A44" s="193" t="s">
        <v>508</v>
      </c>
      <c r="B44" s="185">
        <v>3</v>
      </c>
      <c r="C44" s="185">
        <v>6</v>
      </c>
      <c r="D44" s="185">
        <v>14</v>
      </c>
      <c r="E44" s="185">
        <v>6</v>
      </c>
      <c r="F44" s="185">
        <v>12</v>
      </c>
      <c r="G44" s="66"/>
      <c r="H44" s="66"/>
      <c r="I44" s="66"/>
      <c r="J44" s="66"/>
      <c r="K44" s="66"/>
      <c r="L44" s="66"/>
      <c r="M44" s="66"/>
      <c r="N44" s="66"/>
    </row>
    <row r="45" spans="1:14" ht="16.2" thickBot="1">
      <c r="A45" s="193" t="s">
        <v>509</v>
      </c>
      <c r="B45" s="185">
        <v>6</v>
      </c>
      <c r="C45" s="185">
        <v>16</v>
      </c>
      <c r="D45" s="185">
        <v>49</v>
      </c>
      <c r="E45" s="185">
        <v>14</v>
      </c>
      <c r="F45" s="185">
        <v>35</v>
      </c>
      <c r="G45" s="66"/>
      <c r="H45" s="66"/>
      <c r="I45" s="66"/>
      <c r="J45" s="66"/>
      <c r="K45" s="66"/>
      <c r="L45" s="66"/>
      <c r="M45" s="66"/>
      <c r="N45" s="66"/>
    </row>
    <row r="46" spans="1:14" ht="16.2" thickBot="1">
      <c r="A46" s="193" t="s">
        <v>510</v>
      </c>
      <c r="B46" s="185">
        <v>0</v>
      </c>
      <c r="C46" s="185">
        <v>2</v>
      </c>
      <c r="D46" s="185">
        <v>3</v>
      </c>
      <c r="E46" s="185">
        <v>0</v>
      </c>
      <c r="F46" s="185">
        <v>6</v>
      </c>
      <c r="G46" s="66"/>
      <c r="H46" s="66"/>
      <c r="I46" s="66"/>
      <c r="J46" s="66"/>
      <c r="K46" s="66"/>
      <c r="L46" s="66"/>
      <c r="M46" s="66"/>
      <c r="N46" s="66"/>
    </row>
    <row r="47" spans="1:14" ht="16.2" thickBot="1">
      <c r="A47" s="193" t="s">
        <v>511</v>
      </c>
      <c r="B47" s="185">
        <v>8</v>
      </c>
      <c r="C47" s="185">
        <v>3</v>
      </c>
      <c r="D47" s="185">
        <v>4</v>
      </c>
      <c r="E47" s="185">
        <v>3</v>
      </c>
      <c r="F47" s="185">
        <v>10</v>
      </c>
      <c r="G47" s="66"/>
      <c r="H47" s="66"/>
      <c r="I47" s="66"/>
      <c r="J47" s="66"/>
      <c r="K47" s="66"/>
      <c r="L47" s="66"/>
      <c r="M47" s="66"/>
      <c r="N47" s="66"/>
    </row>
    <row r="48" spans="1:14" ht="16.2" thickBot="1">
      <c r="A48" s="193" t="s">
        <v>512</v>
      </c>
      <c r="B48" s="185">
        <v>2</v>
      </c>
      <c r="C48" s="185">
        <v>8</v>
      </c>
      <c r="D48" s="185">
        <v>3</v>
      </c>
      <c r="E48" s="185">
        <v>1</v>
      </c>
      <c r="F48" s="185">
        <v>5</v>
      </c>
      <c r="G48" s="66"/>
      <c r="H48" s="66"/>
      <c r="I48" s="66"/>
      <c r="J48" s="66"/>
      <c r="K48" s="66"/>
      <c r="L48" s="66"/>
      <c r="M48" s="66"/>
      <c r="N48" s="66"/>
    </row>
    <row r="49" spans="1:14" ht="16.2" thickBot="1">
      <c r="A49" s="193" t="s">
        <v>513</v>
      </c>
      <c r="B49" s="185">
        <v>4</v>
      </c>
      <c r="C49" s="185">
        <v>11</v>
      </c>
      <c r="D49" s="185">
        <v>5</v>
      </c>
      <c r="E49" s="185">
        <v>2</v>
      </c>
      <c r="F49" s="185">
        <v>7</v>
      </c>
      <c r="G49" s="66"/>
      <c r="H49" s="66"/>
      <c r="I49" s="66"/>
      <c r="J49" s="66"/>
      <c r="K49" s="66"/>
      <c r="L49" s="66"/>
      <c r="M49" s="66"/>
      <c r="N49" s="66"/>
    </row>
    <row r="50" spans="1:14" ht="16.2" thickBot="1">
      <c r="A50" s="193" t="s">
        <v>514</v>
      </c>
      <c r="B50" s="185">
        <v>6</v>
      </c>
      <c r="C50" s="185">
        <v>7</v>
      </c>
      <c r="D50" s="185">
        <v>17</v>
      </c>
      <c r="E50" s="185">
        <v>3</v>
      </c>
      <c r="F50" s="185">
        <v>11</v>
      </c>
      <c r="G50" s="66"/>
      <c r="H50" s="66"/>
      <c r="I50" s="66"/>
      <c r="J50" s="66"/>
      <c r="K50" s="66"/>
      <c r="L50" s="66"/>
      <c r="M50" s="66"/>
      <c r="N50" s="66"/>
    </row>
    <row r="51" spans="1:14" ht="15.6">
      <c r="A51" s="70"/>
      <c r="B51" s="66"/>
      <c r="C51" s="66"/>
      <c r="D51" s="66"/>
      <c r="E51" s="66"/>
      <c r="F51" s="66"/>
      <c r="G51" s="66"/>
      <c r="H51" s="66"/>
      <c r="I51" s="66"/>
      <c r="J51" s="66"/>
      <c r="K51" s="66"/>
      <c r="L51" s="66"/>
      <c r="M51" s="66"/>
      <c r="N51" s="66"/>
    </row>
    <row r="52" spans="1:14" ht="15.6">
      <c r="A52" s="157" t="s">
        <v>515</v>
      </c>
      <c r="B52" s="66"/>
      <c r="C52" s="66"/>
      <c r="D52" s="66"/>
      <c r="E52" s="66"/>
      <c r="F52" s="66"/>
      <c r="G52" s="66"/>
      <c r="H52" s="66"/>
      <c r="I52" s="66"/>
      <c r="J52" s="66"/>
      <c r="K52" s="66"/>
      <c r="L52" s="66"/>
      <c r="M52" s="66"/>
      <c r="N52" s="66"/>
    </row>
    <row r="53" spans="1:14" ht="15.6">
      <c r="A53" s="70"/>
      <c r="B53" s="66"/>
      <c r="C53" s="66"/>
      <c r="D53" s="66"/>
      <c r="E53" s="66"/>
      <c r="F53" s="66"/>
      <c r="G53" s="66"/>
      <c r="H53" s="66"/>
      <c r="I53" s="66"/>
      <c r="J53" s="66"/>
      <c r="K53" s="66"/>
      <c r="L53" s="66"/>
      <c r="M53" s="66"/>
      <c r="N53" s="66"/>
    </row>
    <row r="54" spans="1:14" ht="15.6">
      <c r="A54" s="166" t="s">
        <v>516</v>
      </c>
      <c r="B54" s="66"/>
      <c r="C54" s="66"/>
      <c r="D54" s="66"/>
      <c r="E54" s="66"/>
      <c r="F54" s="66"/>
      <c r="G54" s="66"/>
      <c r="H54" s="66"/>
      <c r="I54" s="66"/>
      <c r="J54" s="66"/>
      <c r="K54" s="66"/>
      <c r="L54" s="66"/>
      <c r="M54" s="66"/>
      <c r="N54" s="66"/>
    </row>
    <row r="55" spans="1:14" ht="15.6">
      <c r="A55" s="104" t="s">
        <v>24</v>
      </c>
    </row>
    <row r="56" spans="1:14">
      <c r="A56" s="85"/>
    </row>
  </sheetData>
  <mergeCells count="16">
    <mergeCell ref="A41:A42"/>
    <mergeCell ref="B13:D13"/>
    <mergeCell ref="B14:D14"/>
    <mergeCell ref="B38:F38"/>
    <mergeCell ref="A39:A40"/>
    <mergeCell ref="B39:B40"/>
    <mergeCell ref="C39:C40"/>
    <mergeCell ref="D39:D40"/>
    <mergeCell ref="E39:E40"/>
    <mergeCell ref="F39:F40"/>
    <mergeCell ref="B12:D12"/>
    <mergeCell ref="B7:D7"/>
    <mergeCell ref="B8:D8"/>
    <mergeCell ref="B9:D9"/>
    <mergeCell ref="B10:D10"/>
    <mergeCell ref="B11:D11"/>
  </mergeCells>
  <pageMargins left="0.7" right="0.7" top="0.75" bottom="0.75" header="0.3" footer="0.3"/>
  <pageSetup orientation="portrait" verticalDpi="90" r:id="rId1"/>
  <drawing r:id="rId2"/>
  <legacyDrawing r:id="rId3"/>
  <oleObjects>
    <mc:AlternateContent xmlns:mc="http://schemas.openxmlformats.org/markup-compatibility/2006">
      <mc:Choice Requires="x14">
        <oleObject progId="Equation.DSMT4" shapeId="52225" r:id="rId4">
          <objectPr defaultSize="0" autoPict="0" r:id="rId5">
            <anchor moveWithCells="1" sizeWithCells="1">
              <from>
                <xdr:col>0</xdr:col>
                <xdr:colOff>0</xdr:colOff>
                <xdr:row>17</xdr:row>
                <xdr:rowOff>0</xdr:rowOff>
              </from>
              <to>
                <xdr:col>0</xdr:col>
                <xdr:colOff>601980</xdr:colOff>
                <xdr:row>18</xdr:row>
                <xdr:rowOff>15240</xdr:rowOff>
              </to>
            </anchor>
          </objectPr>
        </oleObject>
      </mc:Choice>
      <mc:Fallback>
        <oleObject progId="Equation.DSMT4" shapeId="52225" r:id="rId4"/>
      </mc:Fallback>
    </mc:AlternateContent>
    <mc:AlternateContent xmlns:mc="http://schemas.openxmlformats.org/markup-compatibility/2006">
      <mc:Choice Requires="x14">
        <oleObject progId="Equation.DSMT4" shapeId="52226" r:id="rId6">
          <objectPr defaultSize="0" autoPict="0" r:id="rId7">
            <anchor moveWithCells="1" sizeWithCells="1">
              <from>
                <xdr:col>0</xdr:col>
                <xdr:colOff>0</xdr:colOff>
                <xdr:row>18</xdr:row>
                <xdr:rowOff>0</xdr:rowOff>
              </from>
              <to>
                <xdr:col>0</xdr:col>
                <xdr:colOff>510540</xdr:colOff>
                <xdr:row>19</xdr:row>
                <xdr:rowOff>15240</xdr:rowOff>
              </to>
            </anchor>
          </objectPr>
        </oleObject>
      </mc:Choice>
      <mc:Fallback>
        <oleObject progId="Equation.DSMT4" shapeId="52226" r:id="rId6"/>
      </mc:Fallback>
    </mc:AlternateContent>
    <mc:AlternateContent xmlns:mc="http://schemas.openxmlformats.org/markup-compatibility/2006">
      <mc:Choice Requires="x14">
        <oleObject progId="Equation.DSMT4" shapeId="52227" r:id="rId8">
          <objectPr defaultSize="0" autoPict="0" r:id="rId9">
            <anchor moveWithCells="1" sizeWithCells="1">
              <from>
                <xdr:col>0</xdr:col>
                <xdr:colOff>0</xdr:colOff>
                <xdr:row>19</xdr:row>
                <xdr:rowOff>0</xdr:rowOff>
              </from>
              <to>
                <xdr:col>0</xdr:col>
                <xdr:colOff>586740</xdr:colOff>
                <xdr:row>20</xdr:row>
                <xdr:rowOff>15240</xdr:rowOff>
              </to>
            </anchor>
          </objectPr>
        </oleObject>
      </mc:Choice>
      <mc:Fallback>
        <oleObject progId="Equation.DSMT4" shapeId="52227" r:id="rId8"/>
      </mc:Fallback>
    </mc:AlternateContent>
    <mc:AlternateContent xmlns:mc="http://schemas.openxmlformats.org/markup-compatibility/2006">
      <mc:Choice Requires="x14">
        <oleObject progId="Equation.DSMT4" shapeId="52228" r:id="rId10">
          <objectPr defaultSize="0" autoPict="0" r:id="rId11">
            <anchor moveWithCells="1" sizeWithCells="1">
              <from>
                <xdr:col>0</xdr:col>
                <xdr:colOff>0</xdr:colOff>
                <xdr:row>20</xdr:row>
                <xdr:rowOff>0</xdr:rowOff>
              </from>
              <to>
                <xdr:col>0</xdr:col>
                <xdr:colOff>586740</xdr:colOff>
                <xdr:row>21</xdr:row>
                <xdr:rowOff>15240</xdr:rowOff>
              </to>
            </anchor>
          </objectPr>
        </oleObject>
      </mc:Choice>
      <mc:Fallback>
        <oleObject progId="Equation.DSMT4" shapeId="52228" r:id="rId10"/>
      </mc:Fallback>
    </mc:AlternateContent>
    <mc:AlternateContent xmlns:mc="http://schemas.openxmlformats.org/markup-compatibility/2006">
      <mc:Choice Requires="x14">
        <oleObject progId="Equation.DSMT4" shapeId="52229" r:id="rId12">
          <objectPr defaultSize="0" autoPict="0" r:id="rId13">
            <anchor moveWithCells="1" sizeWithCells="1">
              <from>
                <xdr:col>0</xdr:col>
                <xdr:colOff>0</xdr:colOff>
                <xdr:row>21</xdr:row>
                <xdr:rowOff>0</xdr:rowOff>
              </from>
              <to>
                <xdr:col>0</xdr:col>
                <xdr:colOff>601980</xdr:colOff>
                <xdr:row>22</xdr:row>
                <xdr:rowOff>15240</xdr:rowOff>
              </to>
            </anchor>
          </objectPr>
        </oleObject>
      </mc:Choice>
      <mc:Fallback>
        <oleObject progId="Equation.DSMT4" shapeId="52229" r:id="rId12"/>
      </mc:Fallback>
    </mc:AlternateContent>
    <mc:AlternateContent xmlns:mc="http://schemas.openxmlformats.org/markup-compatibility/2006">
      <mc:Choice Requires="x14">
        <oleObject progId="Equation.DSMT4" shapeId="52230" r:id="rId14">
          <objectPr defaultSize="0" autoPict="0" r:id="rId15">
            <anchor moveWithCells="1" sizeWithCells="1">
              <from>
                <xdr:col>0</xdr:col>
                <xdr:colOff>0</xdr:colOff>
                <xdr:row>23</xdr:row>
                <xdr:rowOff>0</xdr:rowOff>
              </from>
              <to>
                <xdr:col>0</xdr:col>
                <xdr:colOff>167640</xdr:colOff>
                <xdr:row>24</xdr:row>
                <xdr:rowOff>15240</xdr:rowOff>
              </to>
            </anchor>
          </objectPr>
        </oleObject>
      </mc:Choice>
      <mc:Fallback>
        <oleObject progId="Equation.DSMT4" shapeId="52230" r:id="rId14"/>
      </mc:Fallback>
    </mc:AlternateContent>
    <mc:AlternateContent xmlns:mc="http://schemas.openxmlformats.org/markup-compatibility/2006">
      <mc:Choice Requires="x14">
        <oleObject progId="Equation.DSMT4" shapeId="52231" r:id="rId16">
          <objectPr defaultSize="0" autoPict="0" r:id="rId17">
            <anchor moveWithCells="1" sizeWithCells="1">
              <from>
                <xdr:col>0</xdr:col>
                <xdr:colOff>0</xdr:colOff>
                <xdr:row>24</xdr:row>
                <xdr:rowOff>0</xdr:rowOff>
              </from>
              <to>
                <xdr:col>0</xdr:col>
                <xdr:colOff>297180</xdr:colOff>
                <xdr:row>25</xdr:row>
                <xdr:rowOff>30480</xdr:rowOff>
              </to>
            </anchor>
          </objectPr>
        </oleObject>
      </mc:Choice>
      <mc:Fallback>
        <oleObject progId="Equation.DSMT4" shapeId="52231" r:id="rId16"/>
      </mc:Fallback>
    </mc:AlternateContent>
    <mc:AlternateContent xmlns:mc="http://schemas.openxmlformats.org/markup-compatibility/2006">
      <mc:Choice Requires="x14">
        <oleObject progId="Equation.DSMT4" shapeId="52232" r:id="rId18">
          <objectPr defaultSize="0" autoPict="0" r:id="rId19">
            <anchor moveWithCells="1" sizeWithCells="1">
              <from>
                <xdr:col>0</xdr:col>
                <xdr:colOff>0</xdr:colOff>
                <xdr:row>25</xdr:row>
                <xdr:rowOff>0</xdr:rowOff>
              </from>
              <to>
                <xdr:col>0</xdr:col>
                <xdr:colOff>297180</xdr:colOff>
                <xdr:row>26</xdr:row>
                <xdr:rowOff>30480</xdr:rowOff>
              </to>
            </anchor>
          </objectPr>
        </oleObject>
      </mc:Choice>
      <mc:Fallback>
        <oleObject progId="Equation.DSMT4" shapeId="52232" r:id="rId18"/>
      </mc:Fallback>
    </mc:AlternateContent>
    <mc:AlternateContent xmlns:mc="http://schemas.openxmlformats.org/markup-compatibility/2006">
      <mc:Choice Requires="x14">
        <oleObject progId="Equation.DSMT4" shapeId="52233" r:id="rId20">
          <objectPr defaultSize="0" autoPict="0" r:id="rId21">
            <anchor moveWithCells="1" sizeWithCells="1">
              <from>
                <xdr:col>0</xdr:col>
                <xdr:colOff>0</xdr:colOff>
                <xdr:row>26</xdr:row>
                <xdr:rowOff>0</xdr:rowOff>
              </from>
              <to>
                <xdr:col>0</xdr:col>
                <xdr:colOff>358140</xdr:colOff>
                <xdr:row>27</xdr:row>
                <xdr:rowOff>30480</xdr:rowOff>
              </to>
            </anchor>
          </objectPr>
        </oleObject>
      </mc:Choice>
      <mc:Fallback>
        <oleObject progId="Equation.DSMT4" shapeId="52233" r:id="rId20"/>
      </mc:Fallback>
    </mc:AlternateContent>
    <mc:AlternateContent xmlns:mc="http://schemas.openxmlformats.org/markup-compatibility/2006">
      <mc:Choice Requires="x14">
        <oleObject progId="Equation.DSMT4" shapeId="52234" r:id="rId22">
          <objectPr defaultSize="0" autoPict="0" r:id="rId23">
            <anchor moveWithCells="1" sizeWithCells="1">
              <from>
                <xdr:col>0</xdr:col>
                <xdr:colOff>0</xdr:colOff>
                <xdr:row>27</xdr:row>
                <xdr:rowOff>0</xdr:rowOff>
              </from>
              <to>
                <xdr:col>0</xdr:col>
                <xdr:colOff>381000</xdr:colOff>
                <xdr:row>28</xdr:row>
                <xdr:rowOff>30480</xdr:rowOff>
              </to>
            </anchor>
          </objectPr>
        </oleObject>
      </mc:Choice>
      <mc:Fallback>
        <oleObject progId="Equation.DSMT4" shapeId="52234" r:id="rId22"/>
      </mc:Fallback>
    </mc:AlternateContent>
    <mc:AlternateContent xmlns:mc="http://schemas.openxmlformats.org/markup-compatibility/2006">
      <mc:Choice Requires="x14">
        <oleObject progId="Equation.DSMT4" shapeId="52235" r:id="rId24">
          <objectPr defaultSize="0" autoPict="0" r:id="rId25">
            <anchor moveWithCells="1" sizeWithCells="1">
              <from>
                <xdr:col>0</xdr:col>
                <xdr:colOff>0</xdr:colOff>
                <xdr:row>28</xdr:row>
                <xdr:rowOff>0</xdr:rowOff>
              </from>
              <to>
                <xdr:col>0</xdr:col>
                <xdr:colOff>342900</xdr:colOff>
                <xdr:row>29</xdr:row>
                <xdr:rowOff>30480</xdr:rowOff>
              </to>
            </anchor>
          </objectPr>
        </oleObject>
      </mc:Choice>
      <mc:Fallback>
        <oleObject progId="Equation.DSMT4" shapeId="52235" r:id="rId24"/>
      </mc:Fallback>
    </mc:AlternateContent>
    <mc:AlternateContent xmlns:mc="http://schemas.openxmlformats.org/markup-compatibility/2006">
      <mc:Choice Requires="x14">
        <oleObject progId="Equation.DSMT4" shapeId="52236" r:id="rId26">
          <objectPr defaultSize="0" autoPict="0" r:id="rId27">
            <anchor moveWithCells="1" sizeWithCells="1">
              <from>
                <xdr:col>0</xdr:col>
                <xdr:colOff>0</xdr:colOff>
                <xdr:row>29</xdr:row>
                <xdr:rowOff>0</xdr:rowOff>
              </from>
              <to>
                <xdr:col>0</xdr:col>
                <xdr:colOff>396240</xdr:colOff>
                <xdr:row>30</xdr:row>
                <xdr:rowOff>30480</xdr:rowOff>
              </to>
            </anchor>
          </objectPr>
        </oleObject>
      </mc:Choice>
      <mc:Fallback>
        <oleObject progId="Equation.DSMT4" shapeId="52236" r:id="rId26"/>
      </mc:Fallback>
    </mc:AlternateContent>
    <mc:AlternateContent xmlns:mc="http://schemas.openxmlformats.org/markup-compatibility/2006">
      <mc:Choice Requires="x14">
        <oleObject progId="Equation.DSMT4" shapeId="52237" r:id="rId28">
          <objectPr defaultSize="0" autoPict="0" r:id="rId29">
            <anchor moveWithCells="1" sizeWithCells="1">
              <from>
                <xdr:col>0</xdr:col>
                <xdr:colOff>0</xdr:colOff>
                <xdr:row>30</xdr:row>
                <xdr:rowOff>0</xdr:rowOff>
              </from>
              <to>
                <xdr:col>0</xdr:col>
                <xdr:colOff>358140</xdr:colOff>
                <xdr:row>31</xdr:row>
                <xdr:rowOff>30480</xdr:rowOff>
              </to>
            </anchor>
          </objectPr>
        </oleObject>
      </mc:Choice>
      <mc:Fallback>
        <oleObject progId="Equation.DSMT4" shapeId="52237" r:id="rId28"/>
      </mc:Fallback>
    </mc:AlternateContent>
    <mc:AlternateContent xmlns:mc="http://schemas.openxmlformats.org/markup-compatibility/2006">
      <mc:Choice Requires="x14">
        <oleObject progId="Equation.DSMT4" shapeId="52238" r:id="rId30">
          <objectPr defaultSize="0" autoPict="0" r:id="rId31">
            <anchor moveWithCells="1" sizeWithCells="1">
              <from>
                <xdr:col>0</xdr:col>
                <xdr:colOff>0</xdr:colOff>
                <xdr:row>31</xdr:row>
                <xdr:rowOff>0</xdr:rowOff>
              </from>
              <to>
                <xdr:col>0</xdr:col>
                <xdr:colOff>411480</xdr:colOff>
                <xdr:row>32</xdr:row>
                <xdr:rowOff>30480</xdr:rowOff>
              </to>
            </anchor>
          </objectPr>
        </oleObject>
      </mc:Choice>
      <mc:Fallback>
        <oleObject progId="Equation.DSMT4" shapeId="52238" r:id="rId30"/>
      </mc:Fallback>
    </mc:AlternateContent>
  </oleObjects>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CE52D-E356-440C-AF8B-CA167817C5BB}">
  <sheetPr codeName="Sheet53"/>
  <dimension ref="A1:N56"/>
  <sheetViews>
    <sheetView topLeftCell="A52" workbookViewId="0"/>
  </sheetViews>
  <sheetFormatPr defaultColWidth="9.21875" defaultRowHeight="14.4"/>
  <cols>
    <col min="1" max="1" width="13" style="67" customWidth="1"/>
    <col min="2" max="4" width="21" style="67" customWidth="1"/>
    <col min="5" max="6" width="17.21875" style="67" customWidth="1"/>
    <col min="7" max="16384" width="9.21875" style="67"/>
  </cols>
  <sheetData>
    <row r="1" spans="1:14" ht="17.399999999999999">
      <c r="A1" s="65" t="s">
        <v>472</v>
      </c>
      <c r="B1" s="66"/>
      <c r="C1" s="66"/>
      <c r="D1" s="66"/>
      <c r="E1" s="66"/>
      <c r="F1" s="66"/>
      <c r="G1" s="66"/>
      <c r="H1" s="66"/>
      <c r="I1" s="66"/>
      <c r="J1" s="66"/>
      <c r="K1" s="66"/>
      <c r="L1" s="66"/>
      <c r="M1" s="66"/>
      <c r="N1" s="66"/>
    </row>
    <row r="2" spans="1:14" ht="15.6">
      <c r="A2" s="68" t="s">
        <v>291</v>
      </c>
      <c r="B2" s="66"/>
      <c r="C2" s="66"/>
      <c r="D2" s="66"/>
      <c r="E2" s="66"/>
      <c r="F2" s="66"/>
      <c r="G2" s="66"/>
      <c r="H2" s="66"/>
      <c r="I2" s="66"/>
      <c r="J2" s="66"/>
      <c r="K2" s="66"/>
      <c r="L2" s="66"/>
      <c r="M2" s="66"/>
      <c r="N2" s="66"/>
    </row>
    <row r="3" spans="1:14" ht="15.6">
      <c r="A3" s="68" t="s">
        <v>473</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474</v>
      </c>
      <c r="B5" s="66"/>
      <c r="C5" s="66"/>
      <c r="D5" s="66"/>
      <c r="E5" s="66"/>
      <c r="F5" s="66"/>
      <c r="G5" s="66"/>
      <c r="H5" s="66"/>
      <c r="I5" s="66"/>
      <c r="J5" s="66"/>
      <c r="K5" s="66"/>
      <c r="L5" s="66"/>
      <c r="M5" s="66"/>
      <c r="N5" s="66"/>
    </row>
    <row r="6" spans="1:14" ht="16.2" thickBot="1">
      <c r="A6" s="108"/>
      <c r="B6" s="66"/>
      <c r="C6" s="66"/>
      <c r="D6" s="66"/>
      <c r="E6" s="66"/>
      <c r="F6" s="66"/>
      <c r="G6" s="66"/>
      <c r="H6" s="66"/>
      <c r="I6" s="66"/>
      <c r="J6" s="66"/>
      <c r="K6" s="66"/>
      <c r="L6" s="66"/>
      <c r="M6" s="66"/>
      <c r="N6" s="66"/>
    </row>
    <row r="7" spans="1:14" ht="16.2" thickBot="1">
      <c r="A7" s="188" t="s">
        <v>475</v>
      </c>
      <c r="B7" s="1151" t="s">
        <v>476</v>
      </c>
      <c r="C7" s="1152"/>
      <c r="D7" s="1153"/>
      <c r="E7" s="66"/>
      <c r="F7" s="66"/>
      <c r="G7" s="66"/>
      <c r="H7" s="66"/>
      <c r="I7" s="66"/>
      <c r="J7" s="66"/>
      <c r="K7" s="66"/>
      <c r="L7" s="66"/>
      <c r="M7" s="66"/>
      <c r="N7" s="66"/>
    </row>
    <row r="8" spans="1:14" ht="16.2" thickBot="1">
      <c r="A8" s="137" t="s">
        <v>477</v>
      </c>
      <c r="B8" s="1151" t="s">
        <v>478</v>
      </c>
      <c r="C8" s="1152"/>
      <c r="D8" s="1153"/>
      <c r="E8" s="66"/>
      <c r="F8" s="66"/>
      <c r="G8" s="66"/>
      <c r="H8" s="66"/>
      <c r="I8" s="66"/>
      <c r="J8" s="66"/>
      <c r="K8" s="66"/>
      <c r="L8" s="66"/>
      <c r="M8" s="66"/>
      <c r="N8" s="66"/>
    </row>
    <row r="9" spans="1:14" ht="16.2" thickBot="1">
      <c r="A9" s="137" t="s">
        <v>479</v>
      </c>
      <c r="B9" s="1151" t="s">
        <v>480</v>
      </c>
      <c r="C9" s="1152"/>
      <c r="D9" s="1153"/>
      <c r="E9" s="66"/>
      <c r="F9" s="66"/>
      <c r="G9" s="66"/>
      <c r="H9" s="66"/>
      <c r="I9" s="66"/>
      <c r="J9" s="66"/>
      <c r="K9" s="66"/>
      <c r="L9" s="66"/>
      <c r="M9" s="66"/>
      <c r="N9" s="66"/>
    </row>
    <row r="10" spans="1:14" ht="16.2" thickBot="1">
      <c r="A10" s="137" t="s">
        <v>481</v>
      </c>
      <c r="B10" s="1151" t="s">
        <v>482</v>
      </c>
      <c r="C10" s="1152"/>
      <c r="D10" s="1153"/>
      <c r="E10" s="66"/>
      <c r="F10" s="66"/>
      <c r="G10" s="66"/>
      <c r="H10" s="66"/>
      <c r="I10" s="66"/>
      <c r="J10" s="66"/>
      <c r="K10" s="66"/>
      <c r="L10" s="66"/>
      <c r="M10" s="66"/>
      <c r="N10" s="66"/>
    </row>
    <row r="11" spans="1:14" ht="16.2" thickBot="1">
      <c r="A11" s="137" t="s">
        <v>483</v>
      </c>
      <c r="B11" s="1151" t="s">
        <v>484</v>
      </c>
      <c r="C11" s="1152"/>
      <c r="D11" s="1153"/>
      <c r="E11" s="66"/>
      <c r="F11" s="66"/>
      <c r="G11" s="66"/>
      <c r="H11" s="66"/>
      <c r="I11" s="66"/>
      <c r="J11" s="66"/>
      <c r="K11" s="66"/>
      <c r="L11" s="66"/>
      <c r="M11" s="66"/>
      <c r="N11" s="66"/>
    </row>
    <row r="12" spans="1:14" ht="16.2" thickBot="1">
      <c r="A12" s="137" t="s">
        <v>485</v>
      </c>
      <c r="B12" s="1151" t="s">
        <v>486</v>
      </c>
      <c r="C12" s="1152"/>
      <c r="D12" s="1153"/>
      <c r="E12" s="66"/>
      <c r="F12" s="66"/>
      <c r="G12" s="66"/>
      <c r="H12" s="66"/>
      <c r="I12" s="66"/>
      <c r="J12" s="66"/>
      <c r="K12" s="66"/>
      <c r="L12" s="66"/>
      <c r="M12" s="66"/>
      <c r="N12" s="66"/>
    </row>
    <row r="13" spans="1:14" ht="16.2" thickBot="1">
      <c r="A13" s="137" t="s">
        <v>487</v>
      </c>
      <c r="B13" s="1151" t="s">
        <v>488</v>
      </c>
      <c r="C13" s="1152"/>
      <c r="D13" s="1153"/>
      <c r="E13" s="66"/>
      <c r="F13" s="66"/>
      <c r="G13" s="66"/>
      <c r="H13" s="66"/>
      <c r="I13" s="66"/>
      <c r="J13" s="66"/>
      <c r="K13" s="66"/>
      <c r="L13" s="66"/>
      <c r="M13" s="66"/>
      <c r="N13" s="66"/>
    </row>
    <row r="14" spans="1:14" ht="16.2" thickBot="1">
      <c r="A14" s="137" t="s">
        <v>489</v>
      </c>
      <c r="B14" s="1151" t="s">
        <v>490</v>
      </c>
      <c r="C14" s="1152"/>
      <c r="D14" s="1153"/>
      <c r="E14" s="66"/>
      <c r="F14" s="66"/>
      <c r="G14" s="66"/>
      <c r="H14" s="66"/>
      <c r="I14" s="66"/>
      <c r="J14" s="66"/>
      <c r="K14" s="66"/>
      <c r="L14" s="66"/>
      <c r="M14" s="66"/>
      <c r="N14" s="66"/>
    </row>
    <row r="15" spans="1:14">
      <c r="A15" s="66"/>
      <c r="B15" s="66"/>
      <c r="C15" s="66"/>
      <c r="D15" s="66"/>
      <c r="E15" s="66"/>
      <c r="F15" s="66"/>
      <c r="G15" s="66"/>
      <c r="H15" s="66"/>
      <c r="I15" s="66"/>
      <c r="J15" s="66"/>
      <c r="K15" s="66"/>
      <c r="L15" s="66"/>
      <c r="M15" s="66"/>
      <c r="N15" s="66"/>
    </row>
    <row r="16" spans="1:14" ht="15.6">
      <c r="A16" s="157" t="s">
        <v>491</v>
      </c>
      <c r="B16" s="66"/>
      <c r="C16" s="66"/>
      <c r="D16" s="66"/>
      <c r="E16" s="66"/>
      <c r="F16" s="66"/>
      <c r="G16" s="66"/>
      <c r="H16" s="66"/>
      <c r="I16" s="66"/>
      <c r="J16" s="66"/>
      <c r="K16" s="66"/>
      <c r="L16" s="66"/>
      <c r="M16" s="66"/>
      <c r="N16" s="66"/>
    </row>
    <row r="17" spans="1:14" ht="16.2" thickBot="1">
      <c r="A17" s="157"/>
      <c r="B17" s="66"/>
      <c r="C17" s="66"/>
      <c r="D17" s="66"/>
      <c r="E17" s="66"/>
      <c r="F17" s="66"/>
      <c r="G17" s="66"/>
      <c r="H17" s="66"/>
      <c r="I17" s="66"/>
      <c r="J17" s="66"/>
      <c r="K17" s="66"/>
      <c r="L17" s="66"/>
      <c r="M17" s="66"/>
      <c r="N17" s="66"/>
    </row>
    <row r="18" spans="1:14" ht="16.2" thickBot="1">
      <c r="A18" s="189" t="s">
        <v>492</v>
      </c>
      <c r="B18" s="190">
        <v>1.21</v>
      </c>
      <c r="C18" s="66"/>
      <c r="D18" s="66"/>
      <c r="E18" s="66"/>
      <c r="F18" s="66"/>
      <c r="G18" s="66"/>
      <c r="H18" s="66"/>
      <c r="I18" s="66"/>
      <c r="J18" s="66"/>
      <c r="K18" s="66"/>
      <c r="L18" s="66"/>
      <c r="M18" s="66"/>
      <c r="N18" s="66"/>
    </row>
    <row r="19" spans="1:14" ht="16.2" thickBot="1">
      <c r="A19" s="191" t="s">
        <v>492</v>
      </c>
      <c r="B19" s="185">
        <v>353.57</v>
      </c>
      <c r="C19" s="66"/>
      <c r="D19" s="66"/>
      <c r="E19" s="66"/>
      <c r="F19" s="66"/>
      <c r="G19" s="66"/>
      <c r="H19" s="66"/>
      <c r="I19" s="66"/>
      <c r="J19" s="66"/>
      <c r="K19" s="66"/>
      <c r="L19" s="66"/>
      <c r="M19" s="66"/>
      <c r="N19" s="66"/>
    </row>
    <row r="20" spans="1:14" ht="16.2" thickBot="1">
      <c r="A20" s="191" t="s">
        <v>492</v>
      </c>
      <c r="B20" s="185">
        <v>365.14</v>
      </c>
      <c r="C20" s="66"/>
      <c r="D20" s="66"/>
      <c r="E20" s="66"/>
      <c r="F20" s="66"/>
      <c r="G20" s="66"/>
      <c r="H20" s="66"/>
      <c r="I20" s="66"/>
      <c r="J20" s="66"/>
      <c r="K20" s="66"/>
      <c r="L20" s="66"/>
      <c r="M20" s="66"/>
      <c r="N20" s="66"/>
    </row>
    <row r="21" spans="1:14" ht="16.2" thickBot="1">
      <c r="A21" s="191" t="s">
        <v>492</v>
      </c>
      <c r="B21" s="185">
        <v>412.33</v>
      </c>
      <c r="C21" s="66"/>
      <c r="D21" s="66"/>
      <c r="E21" s="66"/>
      <c r="F21" s="66"/>
      <c r="G21" s="66"/>
      <c r="H21" s="66"/>
      <c r="I21" s="66"/>
      <c r="J21" s="66"/>
      <c r="K21" s="66"/>
      <c r="L21" s="66"/>
      <c r="M21" s="66"/>
      <c r="N21" s="66"/>
    </row>
    <row r="22" spans="1:14" ht="16.2" thickBot="1">
      <c r="A22" s="191" t="s">
        <v>492</v>
      </c>
      <c r="B22" s="185">
        <v>424.62</v>
      </c>
      <c r="C22" s="66"/>
      <c r="D22" s="66"/>
      <c r="E22" s="66"/>
      <c r="F22" s="66"/>
      <c r="G22" s="66"/>
      <c r="H22" s="66"/>
      <c r="I22" s="66"/>
      <c r="J22" s="66"/>
      <c r="K22" s="66"/>
      <c r="L22" s="66"/>
      <c r="M22" s="66"/>
      <c r="N22" s="66"/>
    </row>
    <row r="23" spans="1:14" ht="16.2" thickBot="1">
      <c r="A23" s="70"/>
      <c r="B23" s="66"/>
      <c r="C23" s="66"/>
      <c r="D23" s="66"/>
      <c r="E23" s="66"/>
      <c r="F23" s="66"/>
      <c r="G23" s="66"/>
      <c r="H23" s="66"/>
      <c r="I23" s="66"/>
      <c r="J23" s="66"/>
      <c r="K23" s="66"/>
      <c r="L23" s="66"/>
      <c r="M23" s="66"/>
      <c r="N23" s="66"/>
    </row>
    <row r="24" spans="1:14" ht="16.2" thickBot="1">
      <c r="A24" s="189" t="s">
        <v>492</v>
      </c>
      <c r="B24" s="190">
        <v>19.29</v>
      </c>
      <c r="C24" s="66"/>
      <c r="D24" s="66"/>
      <c r="E24" s="66"/>
      <c r="F24" s="66"/>
      <c r="G24" s="66"/>
      <c r="H24" s="66"/>
      <c r="I24" s="66"/>
      <c r="J24" s="66"/>
      <c r="K24" s="66"/>
      <c r="L24" s="66"/>
      <c r="M24" s="66"/>
      <c r="N24" s="66"/>
    </row>
    <row r="25" spans="1:14" ht="16.2" thickBot="1">
      <c r="A25" s="191" t="s">
        <v>492</v>
      </c>
      <c r="B25" s="185">
        <v>8.52</v>
      </c>
      <c r="C25" s="66"/>
      <c r="D25" s="66"/>
      <c r="E25" s="66"/>
      <c r="F25" s="66"/>
      <c r="G25" s="66"/>
      <c r="H25" s="66"/>
      <c r="I25" s="66"/>
      <c r="J25" s="66"/>
      <c r="K25" s="66"/>
      <c r="L25" s="66"/>
      <c r="M25" s="66"/>
      <c r="N25" s="66"/>
    </row>
    <row r="26" spans="1:14" ht="16.2" thickBot="1">
      <c r="A26" s="191" t="s">
        <v>492</v>
      </c>
      <c r="B26" s="185">
        <v>14.2</v>
      </c>
      <c r="C26" s="66"/>
      <c r="D26" s="66"/>
      <c r="E26" s="66"/>
      <c r="F26" s="66"/>
      <c r="G26" s="66"/>
      <c r="H26" s="66"/>
      <c r="I26" s="66"/>
      <c r="J26" s="66"/>
      <c r="K26" s="66"/>
      <c r="L26" s="66"/>
      <c r="M26" s="66"/>
      <c r="N26" s="66"/>
    </row>
    <row r="27" spans="1:14" ht="16.2" thickBot="1">
      <c r="A27" s="191" t="s">
        <v>492</v>
      </c>
      <c r="B27" s="185">
        <v>7.79</v>
      </c>
      <c r="C27" s="66"/>
      <c r="D27" s="66"/>
      <c r="E27" s="66"/>
      <c r="F27" s="66"/>
      <c r="G27" s="66"/>
      <c r="H27" s="66"/>
      <c r="I27" s="66"/>
      <c r="J27" s="66"/>
      <c r="K27" s="66"/>
      <c r="L27" s="66"/>
      <c r="M27" s="66"/>
      <c r="N27" s="66"/>
    </row>
    <row r="28" spans="1:14" ht="16.2" thickBot="1">
      <c r="A28" s="191" t="s">
        <v>492</v>
      </c>
      <c r="B28" s="185">
        <v>13.67</v>
      </c>
      <c r="C28" s="66"/>
      <c r="D28" s="66"/>
      <c r="E28" s="66"/>
      <c r="F28" s="66"/>
      <c r="G28" s="66"/>
      <c r="H28" s="66"/>
      <c r="I28" s="66"/>
      <c r="J28" s="66"/>
      <c r="K28" s="66"/>
      <c r="L28" s="66"/>
      <c r="M28" s="66"/>
      <c r="N28" s="66"/>
    </row>
    <row r="29" spans="1:14" ht="16.2" thickBot="1">
      <c r="A29" s="191" t="s">
        <v>492</v>
      </c>
      <c r="B29" s="185">
        <v>4.6399999999999997</v>
      </c>
      <c r="C29" s="66"/>
      <c r="D29" s="66"/>
      <c r="E29" s="66"/>
      <c r="F29" s="66"/>
      <c r="G29" s="66"/>
      <c r="H29" s="66"/>
      <c r="I29" s="66"/>
      <c r="J29" s="66"/>
      <c r="K29" s="66"/>
      <c r="L29" s="66"/>
      <c r="M29" s="66"/>
      <c r="N29" s="66"/>
    </row>
    <row r="30" spans="1:14" ht="16.2" thickBot="1">
      <c r="A30" s="191" t="s">
        <v>492</v>
      </c>
      <c r="B30" s="185">
        <v>11.46</v>
      </c>
      <c r="C30" s="66"/>
      <c r="D30" s="66"/>
      <c r="E30" s="66"/>
      <c r="F30" s="66"/>
      <c r="G30" s="66"/>
      <c r="H30" s="66"/>
      <c r="I30" s="66"/>
      <c r="J30" s="66"/>
      <c r="K30" s="66"/>
      <c r="L30" s="66"/>
      <c r="M30" s="66"/>
      <c r="N30" s="66"/>
    </row>
    <row r="31" spans="1:14" ht="16.2" thickBot="1">
      <c r="A31" s="191" t="s">
        <v>492</v>
      </c>
      <c r="B31" s="185">
        <v>3.78</v>
      </c>
      <c r="C31" s="66"/>
      <c r="D31" s="66"/>
      <c r="E31" s="66"/>
      <c r="F31" s="66"/>
      <c r="G31" s="66"/>
      <c r="H31" s="66"/>
      <c r="I31" s="66"/>
      <c r="J31" s="66"/>
      <c r="K31" s="66"/>
      <c r="L31" s="66"/>
      <c r="M31" s="66"/>
      <c r="N31" s="66"/>
    </row>
    <row r="32" spans="1:14" ht="16.2" thickBot="1">
      <c r="A32" s="191" t="s">
        <v>492</v>
      </c>
      <c r="B32" s="185">
        <v>10.87</v>
      </c>
      <c r="C32" s="66"/>
      <c r="D32" s="66"/>
      <c r="E32" s="66"/>
      <c r="F32" s="66"/>
      <c r="G32" s="66"/>
      <c r="H32" s="66"/>
      <c r="I32" s="66"/>
      <c r="J32" s="66"/>
      <c r="K32" s="66"/>
      <c r="L32" s="66"/>
      <c r="M32" s="66"/>
      <c r="N32" s="66"/>
    </row>
    <row r="33" spans="1:14" ht="15.6">
      <c r="A33" s="157"/>
      <c r="B33" s="66"/>
      <c r="C33" s="66"/>
      <c r="D33" s="66"/>
      <c r="E33" s="66"/>
      <c r="F33" s="66"/>
      <c r="G33" s="66"/>
      <c r="H33" s="66"/>
      <c r="I33" s="66"/>
      <c r="J33" s="66"/>
      <c r="K33" s="66"/>
      <c r="L33" s="66"/>
      <c r="M33" s="66"/>
      <c r="N33" s="66"/>
    </row>
    <row r="34" spans="1:14" ht="15.6">
      <c r="A34" s="157" t="s">
        <v>493</v>
      </c>
      <c r="B34" s="66"/>
      <c r="C34" s="66"/>
      <c r="D34" s="66"/>
      <c r="E34" s="66"/>
      <c r="F34" s="66"/>
      <c r="G34" s="66"/>
      <c r="H34" s="66"/>
      <c r="I34" s="66"/>
      <c r="J34" s="66"/>
      <c r="K34" s="66"/>
      <c r="L34" s="66"/>
      <c r="M34" s="66"/>
      <c r="N34" s="66"/>
    </row>
    <row r="35" spans="1:14" ht="15.6">
      <c r="A35" s="157"/>
      <c r="B35" s="66"/>
      <c r="C35" s="66"/>
      <c r="D35" s="66"/>
      <c r="E35" s="66"/>
      <c r="F35" s="66"/>
      <c r="G35" s="66"/>
      <c r="H35" s="66"/>
      <c r="I35" s="66"/>
      <c r="J35" s="66"/>
      <c r="K35" s="66"/>
      <c r="L35" s="66"/>
      <c r="M35" s="66"/>
      <c r="N35" s="66"/>
    </row>
    <row r="36" spans="1:14" ht="15.6">
      <c r="A36" s="157" t="s">
        <v>495</v>
      </c>
      <c r="B36" s="66"/>
      <c r="C36" s="66"/>
      <c r="D36" s="66"/>
      <c r="E36" s="66"/>
      <c r="F36" s="66"/>
      <c r="G36" s="66"/>
      <c r="H36" s="66"/>
      <c r="I36" s="66"/>
      <c r="J36" s="66"/>
      <c r="K36" s="66"/>
      <c r="L36" s="66"/>
      <c r="M36" s="66"/>
      <c r="N36" s="66"/>
    </row>
    <row r="37" spans="1:14" ht="16.2" thickBot="1">
      <c r="A37" s="157"/>
      <c r="B37" s="66"/>
      <c r="C37" s="66"/>
      <c r="D37" s="66"/>
      <c r="E37" s="66"/>
      <c r="F37" s="66"/>
      <c r="G37" s="66"/>
      <c r="H37" s="66"/>
      <c r="I37" s="66"/>
      <c r="J37" s="66"/>
      <c r="K37" s="66"/>
      <c r="L37" s="66"/>
      <c r="M37" s="66"/>
      <c r="N37" s="66"/>
    </row>
    <row r="38" spans="1:14" ht="16.2" thickBot="1">
      <c r="A38" s="192"/>
      <c r="B38" s="1063" t="s">
        <v>496</v>
      </c>
      <c r="C38" s="1064"/>
      <c r="D38" s="1064"/>
      <c r="E38" s="1064"/>
      <c r="F38" s="1069"/>
      <c r="G38" s="66"/>
      <c r="H38" s="66"/>
      <c r="I38" s="66"/>
      <c r="J38" s="66"/>
      <c r="K38" s="66"/>
      <c r="L38" s="66"/>
      <c r="M38" s="66"/>
      <c r="N38" s="66"/>
    </row>
    <row r="39" spans="1:14" ht="39" customHeight="1">
      <c r="A39" s="1154" t="s">
        <v>497</v>
      </c>
      <c r="B39" s="1147" t="s">
        <v>498</v>
      </c>
      <c r="C39" s="1156" t="s">
        <v>499</v>
      </c>
      <c r="D39" s="1156" t="s">
        <v>500</v>
      </c>
      <c r="E39" s="1156" t="s">
        <v>501</v>
      </c>
      <c r="F39" s="1156" t="s">
        <v>502</v>
      </c>
      <c r="G39" s="66"/>
      <c r="H39" s="66"/>
      <c r="I39" s="66"/>
      <c r="J39" s="66"/>
      <c r="K39" s="66"/>
      <c r="L39" s="66"/>
      <c r="M39" s="66"/>
      <c r="N39" s="66"/>
    </row>
    <row r="40" spans="1:14" ht="15" thickBot="1">
      <c r="A40" s="1155"/>
      <c r="B40" s="1148"/>
      <c r="C40" s="1157"/>
      <c r="D40" s="1157"/>
      <c r="E40" s="1157"/>
      <c r="F40" s="1157"/>
      <c r="G40" s="66"/>
      <c r="H40" s="66"/>
      <c r="I40" s="66"/>
      <c r="J40" s="66"/>
      <c r="K40" s="66"/>
      <c r="L40" s="66"/>
      <c r="M40" s="66"/>
      <c r="N40" s="66"/>
    </row>
    <row r="41" spans="1:14" ht="15.6">
      <c r="A41" s="1154" t="s">
        <v>503</v>
      </c>
      <c r="B41" s="194" t="s">
        <v>504</v>
      </c>
      <c r="C41" s="194" t="s">
        <v>504</v>
      </c>
      <c r="D41" s="194" t="s">
        <v>504</v>
      </c>
      <c r="E41" s="194" t="s">
        <v>504</v>
      </c>
      <c r="F41" s="194" t="s">
        <v>504</v>
      </c>
      <c r="G41" s="66"/>
      <c r="H41" s="66"/>
      <c r="I41" s="66"/>
      <c r="J41" s="66"/>
      <c r="K41" s="66"/>
      <c r="L41" s="66"/>
      <c r="M41" s="66"/>
      <c r="N41" s="66"/>
    </row>
    <row r="42" spans="1:14" ht="16.2" thickBot="1">
      <c r="A42" s="1155"/>
      <c r="B42" s="172" t="s">
        <v>505</v>
      </c>
      <c r="C42" s="172" t="s">
        <v>506</v>
      </c>
      <c r="D42" s="172" t="s">
        <v>505</v>
      </c>
      <c r="E42" s="172" t="s">
        <v>506</v>
      </c>
      <c r="F42" s="172" t="s">
        <v>505</v>
      </c>
      <c r="G42" s="66"/>
      <c r="H42" s="66"/>
      <c r="I42" s="66"/>
      <c r="J42" s="66"/>
      <c r="K42" s="66"/>
      <c r="L42" s="66"/>
      <c r="M42" s="66"/>
      <c r="N42" s="66"/>
    </row>
    <row r="43" spans="1:14" ht="16.2" thickBot="1">
      <c r="A43" s="193" t="s">
        <v>507</v>
      </c>
      <c r="B43" s="185">
        <v>15</v>
      </c>
      <c r="C43" s="185">
        <v>19</v>
      </c>
      <c r="D43" s="185">
        <v>44</v>
      </c>
      <c r="E43" s="185">
        <v>26</v>
      </c>
      <c r="F43" s="185">
        <v>44</v>
      </c>
      <c r="G43" s="66"/>
      <c r="H43" s="66"/>
      <c r="I43" s="66"/>
      <c r="J43" s="66"/>
      <c r="K43" s="66"/>
      <c r="L43" s="66"/>
      <c r="M43" s="66"/>
      <c r="N43" s="66"/>
    </row>
    <row r="44" spans="1:14" ht="16.2" thickBot="1">
      <c r="A44" s="193" t="s">
        <v>508</v>
      </c>
      <c r="B44" s="185">
        <v>3</v>
      </c>
      <c r="C44" s="185">
        <v>6</v>
      </c>
      <c r="D44" s="185">
        <v>14</v>
      </c>
      <c r="E44" s="185">
        <v>6</v>
      </c>
      <c r="F44" s="185">
        <v>12</v>
      </c>
      <c r="G44" s="66"/>
      <c r="H44" s="66"/>
      <c r="I44" s="66"/>
      <c r="J44" s="66"/>
      <c r="K44" s="66"/>
      <c r="L44" s="66"/>
      <c r="M44" s="66"/>
      <c r="N44" s="66"/>
    </row>
    <row r="45" spans="1:14" ht="16.2" thickBot="1">
      <c r="A45" s="193" t="s">
        <v>509</v>
      </c>
      <c r="B45" s="185">
        <v>6</v>
      </c>
      <c r="C45" s="185">
        <v>16</v>
      </c>
      <c r="D45" s="185">
        <v>49</v>
      </c>
      <c r="E45" s="185">
        <v>14</v>
      </c>
      <c r="F45" s="185">
        <v>35</v>
      </c>
      <c r="G45" s="66"/>
      <c r="H45" s="66"/>
      <c r="I45" s="66"/>
      <c r="J45" s="66"/>
      <c r="K45" s="66"/>
      <c r="L45" s="66"/>
      <c r="M45" s="66"/>
      <c r="N45" s="66"/>
    </row>
    <row r="46" spans="1:14" ht="16.2" thickBot="1">
      <c r="A46" s="193" t="s">
        <v>510</v>
      </c>
      <c r="B46" s="185">
        <v>0</v>
      </c>
      <c r="C46" s="185">
        <v>2</v>
      </c>
      <c r="D46" s="185">
        <v>3</v>
      </c>
      <c r="E46" s="185">
        <v>0</v>
      </c>
      <c r="F46" s="185">
        <v>6</v>
      </c>
      <c r="G46" s="66"/>
      <c r="H46" s="66"/>
      <c r="I46" s="66"/>
      <c r="J46" s="66"/>
      <c r="K46" s="66"/>
      <c r="L46" s="66"/>
      <c r="M46" s="66"/>
      <c r="N46" s="66"/>
    </row>
    <row r="47" spans="1:14" ht="16.2" thickBot="1">
      <c r="A47" s="193" t="s">
        <v>511</v>
      </c>
      <c r="B47" s="185">
        <v>8</v>
      </c>
      <c r="C47" s="185">
        <v>3</v>
      </c>
      <c r="D47" s="185">
        <v>4</v>
      </c>
      <c r="E47" s="185">
        <v>3</v>
      </c>
      <c r="F47" s="185">
        <v>10</v>
      </c>
      <c r="G47" s="66"/>
      <c r="H47" s="66"/>
      <c r="I47" s="66"/>
      <c r="J47" s="66"/>
      <c r="K47" s="66"/>
      <c r="L47" s="66"/>
      <c r="M47" s="66"/>
      <c r="N47" s="66"/>
    </row>
    <row r="48" spans="1:14" ht="16.2" thickBot="1">
      <c r="A48" s="193" t="s">
        <v>512</v>
      </c>
      <c r="B48" s="185">
        <v>2</v>
      </c>
      <c r="C48" s="185">
        <v>8</v>
      </c>
      <c r="D48" s="185">
        <v>3</v>
      </c>
      <c r="E48" s="185">
        <v>1</v>
      </c>
      <c r="F48" s="185">
        <v>5</v>
      </c>
      <c r="G48" s="66"/>
      <c r="H48" s="66"/>
      <c r="I48" s="66"/>
      <c r="J48" s="66"/>
      <c r="K48" s="66"/>
      <c r="L48" s="66"/>
      <c r="M48" s="66"/>
      <c r="N48" s="66"/>
    </row>
    <row r="49" spans="1:14" ht="16.2" thickBot="1">
      <c r="A49" s="193" t="s">
        <v>513</v>
      </c>
      <c r="B49" s="185">
        <v>4</v>
      </c>
      <c r="C49" s="185">
        <v>11</v>
      </c>
      <c r="D49" s="185">
        <v>5</v>
      </c>
      <c r="E49" s="185">
        <v>2</v>
      </c>
      <c r="F49" s="185">
        <v>7</v>
      </c>
      <c r="G49" s="66"/>
      <c r="H49" s="66"/>
      <c r="I49" s="66"/>
      <c r="J49" s="66"/>
      <c r="K49" s="66"/>
      <c r="L49" s="66"/>
      <c r="M49" s="66"/>
      <c r="N49" s="66"/>
    </row>
    <row r="50" spans="1:14" ht="16.2" thickBot="1">
      <c r="A50" s="193" t="s">
        <v>514</v>
      </c>
      <c r="B50" s="185">
        <v>6</v>
      </c>
      <c r="C50" s="185">
        <v>7</v>
      </c>
      <c r="D50" s="185">
        <v>17</v>
      </c>
      <c r="E50" s="185">
        <v>3</v>
      </c>
      <c r="F50" s="185">
        <v>11</v>
      </c>
      <c r="G50" s="66"/>
      <c r="H50" s="66"/>
      <c r="I50" s="66"/>
      <c r="J50" s="66"/>
      <c r="K50" s="66"/>
      <c r="L50" s="66"/>
      <c r="M50" s="66"/>
      <c r="N50" s="66"/>
    </row>
    <row r="51" spans="1:14" ht="15.6">
      <c r="A51" s="70"/>
      <c r="B51" s="66"/>
      <c r="C51" s="66"/>
      <c r="D51" s="66"/>
      <c r="E51" s="66"/>
      <c r="F51" s="66"/>
      <c r="G51" s="66"/>
      <c r="H51" s="66"/>
      <c r="I51" s="66"/>
      <c r="J51" s="66"/>
      <c r="K51" s="66"/>
      <c r="L51" s="66"/>
      <c r="M51" s="66"/>
      <c r="N51" s="66"/>
    </row>
    <row r="52" spans="1:14" ht="15.6">
      <c r="A52" s="157" t="s">
        <v>515</v>
      </c>
      <c r="B52" s="66"/>
      <c r="C52" s="66"/>
      <c r="D52" s="66"/>
      <c r="E52" s="66"/>
      <c r="F52" s="66"/>
      <c r="G52" s="66"/>
      <c r="H52" s="66"/>
      <c r="I52" s="66"/>
      <c r="J52" s="66"/>
      <c r="K52" s="66"/>
      <c r="L52" s="66"/>
      <c r="M52" s="66"/>
      <c r="N52" s="66"/>
    </row>
    <row r="53" spans="1:14" ht="15.6">
      <c r="A53" s="70"/>
      <c r="B53" s="66"/>
      <c r="C53" s="66"/>
      <c r="D53" s="66"/>
      <c r="E53" s="66"/>
      <c r="F53" s="66"/>
      <c r="G53" s="66"/>
      <c r="H53" s="66"/>
      <c r="I53" s="66"/>
      <c r="J53" s="66"/>
      <c r="K53" s="66"/>
      <c r="L53" s="66"/>
      <c r="M53" s="66"/>
      <c r="N53" s="66"/>
    </row>
    <row r="54" spans="1:14" ht="15.6">
      <c r="A54" s="166" t="s">
        <v>517</v>
      </c>
      <c r="B54" s="66"/>
      <c r="C54" s="66"/>
      <c r="D54" s="66"/>
      <c r="E54" s="66"/>
      <c r="F54" s="66"/>
      <c r="G54" s="66"/>
      <c r="H54" s="66"/>
      <c r="I54" s="66"/>
      <c r="J54" s="66"/>
      <c r="K54" s="66"/>
      <c r="L54" s="66"/>
      <c r="M54" s="66"/>
      <c r="N54" s="66"/>
    </row>
    <row r="55" spans="1:14" ht="15.6">
      <c r="A55" s="104" t="s">
        <v>24</v>
      </c>
    </row>
    <row r="56" spans="1:14">
      <c r="A56" s="85"/>
    </row>
  </sheetData>
  <mergeCells count="16">
    <mergeCell ref="A41:A42"/>
    <mergeCell ref="B13:D13"/>
    <mergeCell ref="B14:D14"/>
    <mergeCell ref="B38:F38"/>
    <mergeCell ref="A39:A40"/>
    <mergeCell ref="B39:B40"/>
    <mergeCell ref="C39:C40"/>
    <mergeCell ref="D39:D40"/>
    <mergeCell ref="E39:E40"/>
    <mergeCell ref="F39:F40"/>
    <mergeCell ref="B12:D12"/>
    <mergeCell ref="B7:D7"/>
    <mergeCell ref="B8:D8"/>
    <mergeCell ref="B9:D9"/>
    <mergeCell ref="B10:D10"/>
    <mergeCell ref="B11:D11"/>
  </mergeCells>
  <pageMargins left="0.7" right="0.7" top="0.75" bottom="0.75" header="0.3" footer="0.3"/>
  <pageSetup orientation="portrait" verticalDpi="90" r:id="rId1"/>
  <drawing r:id="rId2"/>
  <legacyDrawing r:id="rId3"/>
  <oleObjects>
    <mc:AlternateContent xmlns:mc="http://schemas.openxmlformats.org/markup-compatibility/2006">
      <mc:Choice Requires="x14">
        <oleObject progId="Equation.DSMT4" shapeId="53249" r:id="rId4">
          <objectPr defaultSize="0" autoPict="0" r:id="rId5">
            <anchor moveWithCells="1" sizeWithCells="1">
              <from>
                <xdr:col>0</xdr:col>
                <xdr:colOff>0</xdr:colOff>
                <xdr:row>17</xdr:row>
                <xdr:rowOff>0</xdr:rowOff>
              </from>
              <to>
                <xdr:col>0</xdr:col>
                <xdr:colOff>601980</xdr:colOff>
                <xdr:row>18</xdr:row>
                <xdr:rowOff>15240</xdr:rowOff>
              </to>
            </anchor>
          </objectPr>
        </oleObject>
      </mc:Choice>
      <mc:Fallback>
        <oleObject progId="Equation.DSMT4" shapeId="53249" r:id="rId4"/>
      </mc:Fallback>
    </mc:AlternateContent>
    <mc:AlternateContent xmlns:mc="http://schemas.openxmlformats.org/markup-compatibility/2006">
      <mc:Choice Requires="x14">
        <oleObject progId="Equation.DSMT4" shapeId="53250" r:id="rId6">
          <objectPr defaultSize="0" autoPict="0" r:id="rId7">
            <anchor moveWithCells="1" sizeWithCells="1">
              <from>
                <xdr:col>0</xdr:col>
                <xdr:colOff>0</xdr:colOff>
                <xdr:row>18</xdr:row>
                <xdr:rowOff>0</xdr:rowOff>
              </from>
              <to>
                <xdr:col>0</xdr:col>
                <xdr:colOff>510540</xdr:colOff>
                <xdr:row>19</xdr:row>
                <xdr:rowOff>15240</xdr:rowOff>
              </to>
            </anchor>
          </objectPr>
        </oleObject>
      </mc:Choice>
      <mc:Fallback>
        <oleObject progId="Equation.DSMT4" shapeId="53250" r:id="rId6"/>
      </mc:Fallback>
    </mc:AlternateContent>
    <mc:AlternateContent xmlns:mc="http://schemas.openxmlformats.org/markup-compatibility/2006">
      <mc:Choice Requires="x14">
        <oleObject progId="Equation.DSMT4" shapeId="53251" r:id="rId8">
          <objectPr defaultSize="0" autoPict="0" r:id="rId9">
            <anchor moveWithCells="1" sizeWithCells="1">
              <from>
                <xdr:col>0</xdr:col>
                <xdr:colOff>0</xdr:colOff>
                <xdr:row>19</xdr:row>
                <xdr:rowOff>0</xdr:rowOff>
              </from>
              <to>
                <xdr:col>0</xdr:col>
                <xdr:colOff>586740</xdr:colOff>
                <xdr:row>20</xdr:row>
                <xdr:rowOff>15240</xdr:rowOff>
              </to>
            </anchor>
          </objectPr>
        </oleObject>
      </mc:Choice>
      <mc:Fallback>
        <oleObject progId="Equation.DSMT4" shapeId="53251" r:id="rId8"/>
      </mc:Fallback>
    </mc:AlternateContent>
    <mc:AlternateContent xmlns:mc="http://schemas.openxmlformats.org/markup-compatibility/2006">
      <mc:Choice Requires="x14">
        <oleObject progId="Equation.DSMT4" shapeId="53252" r:id="rId10">
          <objectPr defaultSize="0" autoPict="0" r:id="rId11">
            <anchor moveWithCells="1" sizeWithCells="1">
              <from>
                <xdr:col>0</xdr:col>
                <xdr:colOff>0</xdr:colOff>
                <xdr:row>20</xdr:row>
                <xdr:rowOff>0</xdr:rowOff>
              </from>
              <to>
                <xdr:col>0</xdr:col>
                <xdr:colOff>586740</xdr:colOff>
                <xdr:row>21</xdr:row>
                <xdr:rowOff>15240</xdr:rowOff>
              </to>
            </anchor>
          </objectPr>
        </oleObject>
      </mc:Choice>
      <mc:Fallback>
        <oleObject progId="Equation.DSMT4" shapeId="53252" r:id="rId10"/>
      </mc:Fallback>
    </mc:AlternateContent>
    <mc:AlternateContent xmlns:mc="http://schemas.openxmlformats.org/markup-compatibility/2006">
      <mc:Choice Requires="x14">
        <oleObject progId="Equation.DSMT4" shapeId="53253" r:id="rId12">
          <objectPr defaultSize="0" autoPict="0" r:id="rId13">
            <anchor moveWithCells="1" sizeWithCells="1">
              <from>
                <xdr:col>0</xdr:col>
                <xdr:colOff>0</xdr:colOff>
                <xdr:row>21</xdr:row>
                <xdr:rowOff>0</xdr:rowOff>
              </from>
              <to>
                <xdr:col>0</xdr:col>
                <xdr:colOff>601980</xdr:colOff>
                <xdr:row>22</xdr:row>
                <xdr:rowOff>15240</xdr:rowOff>
              </to>
            </anchor>
          </objectPr>
        </oleObject>
      </mc:Choice>
      <mc:Fallback>
        <oleObject progId="Equation.DSMT4" shapeId="53253" r:id="rId12"/>
      </mc:Fallback>
    </mc:AlternateContent>
    <mc:AlternateContent xmlns:mc="http://schemas.openxmlformats.org/markup-compatibility/2006">
      <mc:Choice Requires="x14">
        <oleObject progId="Equation.DSMT4" shapeId="53254" r:id="rId14">
          <objectPr defaultSize="0" autoPict="0" r:id="rId15">
            <anchor moveWithCells="1" sizeWithCells="1">
              <from>
                <xdr:col>0</xdr:col>
                <xdr:colOff>0</xdr:colOff>
                <xdr:row>23</xdr:row>
                <xdr:rowOff>0</xdr:rowOff>
              </from>
              <to>
                <xdr:col>0</xdr:col>
                <xdr:colOff>167640</xdr:colOff>
                <xdr:row>24</xdr:row>
                <xdr:rowOff>15240</xdr:rowOff>
              </to>
            </anchor>
          </objectPr>
        </oleObject>
      </mc:Choice>
      <mc:Fallback>
        <oleObject progId="Equation.DSMT4" shapeId="53254" r:id="rId14"/>
      </mc:Fallback>
    </mc:AlternateContent>
    <mc:AlternateContent xmlns:mc="http://schemas.openxmlformats.org/markup-compatibility/2006">
      <mc:Choice Requires="x14">
        <oleObject progId="Equation.DSMT4" shapeId="53255" r:id="rId16">
          <objectPr defaultSize="0" autoPict="0" r:id="rId17">
            <anchor moveWithCells="1" sizeWithCells="1">
              <from>
                <xdr:col>0</xdr:col>
                <xdr:colOff>0</xdr:colOff>
                <xdr:row>24</xdr:row>
                <xdr:rowOff>0</xdr:rowOff>
              </from>
              <to>
                <xdr:col>0</xdr:col>
                <xdr:colOff>297180</xdr:colOff>
                <xdr:row>25</xdr:row>
                <xdr:rowOff>30480</xdr:rowOff>
              </to>
            </anchor>
          </objectPr>
        </oleObject>
      </mc:Choice>
      <mc:Fallback>
        <oleObject progId="Equation.DSMT4" shapeId="53255" r:id="rId16"/>
      </mc:Fallback>
    </mc:AlternateContent>
    <mc:AlternateContent xmlns:mc="http://schemas.openxmlformats.org/markup-compatibility/2006">
      <mc:Choice Requires="x14">
        <oleObject progId="Equation.DSMT4" shapeId="53256" r:id="rId18">
          <objectPr defaultSize="0" autoPict="0" r:id="rId19">
            <anchor moveWithCells="1" sizeWithCells="1">
              <from>
                <xdr:col>0</xdr:col>
                <xdr:colOff>0</xdr:colOff>
                <xdr:row>25</xdr:row>
                <xdr:rowOff>0</xdr:rowOff>
              </from>
              <to>
                <xdr:col>0</xdr:col>
                <xdr:colOff>297180</xdr:colOff>
                <xdr:row>26</xdr:row>
                <xdr:rowOff>30480</xdr:rowOff>
              </to>
            </anchor>
          </objectPr>
        </oleObject>
      </mc:Choice>
      <mc:Fallback>
        <oleObject progId="Equation.DSMT4" shapeId="53256" r:id="rId18"/>
      </mc:Fallback>
    </mc:AlternateContent>
    <mc:AlternateContent xmlns:mc="http://schemas.openxmlformats.org/markup-compatibility/2006">
      <mc:Choice Requires="x14">
        <oleObject progId="Equation.DSMT4" shapeId="53257" r:id="rId20">
          <objectPr defaultSize="0" autoPict="0" r:id="rId21">
            <anchor moveWithCells="1" sizeWithCells="1">
              <from>
                <xdr:col>0</xdr:col>
                <xdr:colOff>0</xdr:colOff>
                <xdr:row>26</xdr:row>
                <xdr:rowOff>0</xdr:rowOff>
              </from>
              <to>
                <xdr:col>0</xdr:col>
                <xdr:colOff>358140</xdr:colOff>
                <xdr:row>27</xdr:row>
                <xdr:rowOff>30480</xdr:rowOff>
              </to>
            </anchor>
          </objectPr>
        </oleObject>
      </mc:Choice>
      <mc:Fallback>
        <oleObject progId="Equation.DSMT4" shapeId="53257" r:id="rId20"/>
      </mc:Fallback>
    </mc:AlternateContent>
    <mc:AlternateContent xmlns:mc="http://schemas.openxmlformats.org/markup-compatibility/2006">
      <mc:Choice Requires="x14">
        <oleObject progId="Equation.DSMT4" shapeId="53258" r:id="rId22">
          <objectPr defaultSize="0" autoPict="0" r:id="rId23">
            <anchor moveWithCells="1" sizeWithCells="1">
              <from>
                <xdr:col>0</xdr:col>
                <xdr:colOff>0</xdr:colOff>
                <xdr:row>27</xdr:row>
                <xdr:rowOff>0</xdr:rowOff>
              </from>
              <to>
                <xdr:col>0</xdr:col>
                <xdr:colOff>381000</xdr:colOff>
                <xdr:row>28</xdr:row>
                <xdr:rowOff>30480</xdr:rowOff>
              </to>
            </anchor>
          </objectPr>
        </oleObject>
      </mc:Choice>
      <mc:Fallback>
        <oleObject progId="Equation.DSMT4" shapeId="53258" r:id="rId22"/>
      </mc:Fallback>
    </mc:AlternateContent>
    <mc:AlternateContent xmlns:mc="http://schemas.openxmlformats.org/markup-compatibility/2006">
      <mc:Choice Requires="x14">
        <oleObject progId="Equation.DSMT4" shapeId="53259" r:id="rId24">
          <objectPr defaultSize="0" autoPict="0" r:id="rId25">
            <anchor moveWithCells="1" sizeWithCells="1">
              <from>
                <xdr:col>0</xdr:col>
                <xdr:colOff>0</xdr:colOff>
                <xdr:row>28</xdr:row>
                <xdr:rowOff>0</xdr:rowOff>
              </from>
              <to>
                <xdr:col>0</xdr:col>
                <xdr:colOff>342900</xdr:colOff>
                <xdr:row>29</xdr:row>
                <xdr:rowOff>30480</xdr:rowOff>
              </to>
            </anchor>
          </objectPr>
        </oleObject>
      </mc:Choice>
      <mc:Fallback>
        <oleObject progId="Equation.DSMT4" shapeId="53259" r:id="rId24"/>
      </mc:Fallback>
    </mc:AlternateContent>
    <mc:AlternateContent xmlns:mc="http://schemas.openxmlformats.org/markup-compatibility/2006">
      <mc:Choice Requires="x14">
        <oleObject progId="Equation.DSMT4" shapeId="53260" r:id="rId26">
          <objectPr defaultSize="0" autoPict="0" r:id="rId27">
            <anchor moveWithCells="1" sizeWithCells="1">
              <from>
                <xdr:col>0</xdr:col>
                <xdr:colOff>0</xdr:colOff>
                <xdr:row>29</xdr:row>
                <xdr:rowOff>0</xdr:rowOff>
              </from>
              <to>
                <xdr:col>0</xdr:col>
                <xdr:colOff>396240</xdr:colOff>
                <xdr:row>30</xdr:row>
                <xdr:rowOff>30480</xdr:rowOff>
              </to>
            </anchor>
          </objectPr>
        </oleObject>
      </mc:Choice>
      <mc:Fallback>
        <oleObject progId="Equation.DSMT4" shapeId="53260" r:id="rId26"/>
      </mc:Fallback>
    </mc:AlternateContent>
    <mc:AlternateContent xmlns:mc="http://schemas.openxmlformats.org/markup-compatibility/2006">
      <mc:Choice Requires="x14">
        <oleObject progId="Equation.DSMT4" shapeId="53261" r:id="rId28">
          <objectPr defaultSize="0" autoPict="0" r:id="rId29">
            <anchor moveWithCells="1" sizeWithCells="1">
              <from>
                <xdr:col>0</xdr:col>
                <xdr:colOff>0</xdr:colOff>
                <xdr:row>30</xdr:row>
                <xdr:rowOff>0</xdr:rowOff>
              </from>
              <to>
                <xdr:col>0</xdr:col>
                <xdr:colOff>358140</xdr:colOff>
                <xdr:row>31</xdr:row>
                <xdr:rowOff>30480</xdr:rowOff>
              </to>
            </anchor>
          </objectPr>
        </oleObject>
      </mc:Choice>
      <mc:Fallback>
        <oleObject progId="Equation.DSMT4" shapeId="53261" r:id="rId28"/>
      </mc:Fallback>
    </mc:AlternateContent>
    <mc:AlternateContent xmlns:mc="http://schemas.openxmlformats.org/markup-compatibility/2006">
      <mc:Choice Requires="x14">
        <oleObject progId="Equation.DSMT4" shapeId="53262" r:id="rId30">
          <objectPr defaultSize="0" autoPict="0" r:id="rId31">
            <anchor moveWithCells="1" sizeWithCells="1">
              <from>
                <xdr:col>0</xdr:col>
                <xdr:colOff>0</xdr:colOff>
                <xdr:row>31</xdr:row>
                <xdr:rowOff>0</xdr:rowOff>
              </from>
              <to>
                <xdr:col>0</xdr:col>
                <xdr:colOff>411480</xdr:colOff>
                <xdr:row>32</xdr:row>
                <xdr:rowOff>30480</xdr:rowOff>
              </to>
            </anchor>
          </objectPr>
        </oleObject>
      </mc:Choice>
      <mc:Fallback>
        <oleObject progId="Equation.DSMT4" shapeId="53262" r:id="rId30"/>
      </mc:Fallback>
    </mc:AlternateContent>
  </oleObject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2A98C-6070-40A0-995A-CC98F62C2D5F}">
  <sheetPr codeName="Sheet49"/>
  <dimension ref="A1:N51"/>
  <sheetViews>
    <sheetView topLeftCell="A46" workbookViewId="0"/>
  </sheetViews>
  <sheetFormatPr defaultColWidth="9.21875" defaultRowHeight="14.4"/>
  <cols>
    <col min="1" max="1" width="13" style="67" customWidth="1"/>
    <col min="2" max="4" width="21" style="67" customWidth="1"/>
    <col min="5" max="7" width="16.21875" style="67" customWidth="1"/>
    <col min="8" max="16384" width="9.21875" style="67"/>
  </cols>
  <sheetData>
    <row r="1" spans="1:14" ht="17.399999999999999">
      <c r="A1" s="65" t="s">
        <v>518</v>
      </c>
      <c r="B1" s="66"/>
      <c r="C1" s="66"/>
      <c r="D1" s="66"/>
      <c r="E1" s="66"/>
      <c r="F1" s="66"/>
      <c r="G1" s="66"/>
      <c r="H1" s="66"/>
      <c r="I1" s="66"/>
      <c r="J1" s="66"/>
      <c r="K1" s="66"/>
      <c r="L1" s="66"/>
      <c r="M1" s="66"/>
      <c r="N1" s="66"/>
    </row>
    <row r="2" spans="1:14" ht="15.6">
      <c r="A2" s="68" t="s">
        <v>519</v>
      </c>
      <c r="B2" s="66"/>
      <c r="C2" s="66"/>
      <c r="D2" s="66"/>
      <c r="E2" s="66"/>
      <c r="F2" s="66"/>
      <c r="G2" s="66"/>
      <c r="H2" s="66"/>
      <c r="I2" s="66"/>
      <c r="J2" s="66"/>
      <c r="K2" s="66"/>
      <c r="L2" s="66"/>
      <c r="M2" s="66"/>
      <c r="N2" s="66"/>
    </row>
    <row r="3" spans="1:14" ht="15.6">
      <c r="A3" s="68" t="s">
        <v>520</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521</v>
      </c>
      <c r="B5" s="66"/>
      <c r="C5" s="66"/>
      <c r="D5" s="66"/>
      <c r="E5" s="66"/>
      <c r="F5" s="66"/>
      <c r="G5" s="66"/>
      <c r="H5" s="66"/>
      <c r="I5" s="66"/>
      <c r="J5" s="66"/>
      <c r="K5" s="66"/>
      <c r="L5" s="66"/>
      <c r="M5" s="66"/>
      <c r="N5" s="66"/>
    </row>
    <row r="6" spans="1:14" ht="15.6">
      <c r="A6" s="157"/>
      <c r="B6" s="66"/>
      <c r="C6" s="66"/>
      <c r="D6" s="66"/>
      <c r="E6" s="66"/>
      <c r="F6" s="66"/>
      <c r="G6" s="66"/>
      <c r="H6" s="66"/>
      <c r="I6" s="66"/>
      <c r="J6" s="66"/>
      <c r="K6" s="66"/>
      <c r="L6" s="66"/>
      <c r="M6" s="66"/>
      <c r="N6" s="66"/>
    </row>
    <row r="7" spans="1:14" ht="15.6">
      <c r="A7" s="157" t="s">
        <v>522</v>
      </c>
      <c r="B7" s="66"/>
      <c r="C7" s="66"/>
      <c r="D7" s="66"/>
      <c r="E7" s="66"/>
      <c r="F7" s="66"/>
      <c r="G7" s="66"/>
      <c r="H7" s="66"/>
      <c r="I7" s="66"/>
      <c r="J7" s="66"/>
      <c r="K7" s="66"/>
      <c r="L7" s="66"/>
      <c r="M7" s="66"/>
      <c r="N7" s="66"/>
    </row>
    <row r="8" spans="1:14" ht="16.2" thickBot="1">
      <c r="A8" s="157"/>
      <c r="B8" s="66"/>
      <c r="C8" s="66"/>
      <c r="D8" s="66"/>
      <c r="E8" s="66"/>
      <c r="F8" s="66"/>
      <c r="G8" s="66"/>
      <c r="H8" s="66"/>
      <c r="I8" s="66"/>
      <c r="J8" s="66"/>
      <c r="K8" s="66"/>
      <c r="L8" s="66"/>
      <c r="M8" s="66"/>
      <c r="N8" s="66"/>
    </row>
    <row r="9" spans="1:14" ht="39.75" customHeight="1" thickBot="1">
      <c r="A9" s="1158" t="s">
        <v>523</v>
      </c>
      <c r="B9" s="1159"/>
      <c r="C9" s="66"/>
      <c r="D9" s="66"/>
      <c r="E9" s="66"/>
      <c r="F9" s="66"/>
      <c r="G9" s="66"/>
      <c r="H9" s="66"/>
      <c r="I9" s="66"/>
      <c r="J9" s="66"/>
      <c r="K9" s="66"/>
      <c r="L9" s="66"/>
      <c r="M9" s="66"/>
      <c r="N9" s="66"/>
    </row>
    <row r="10" spans="1:14" ht="31.8" thickBot="1">
      <c r="A10" s="137" t="s">
        <v>524</v>
      </c>
      <c r="B10" s="134">
        <v>125000</v>
      </c>
      <c r="C10" s="66"/>
      <c r="D10" s="66"/>
      <c r="E10" s="66"/>
      <c r="F10" s="66"/>
      <c r="G10" s="66"/>
      <c r="H10" s="66"/>
      <c r="I10" s="66"/>
      <c r="J10" s="66"/>
      <c r="K10" s="66"/>
      <c r="L10" s="66"/>
      <c r="M10" s="66"/>
      <c r="N10" s="66"/>
    </row>
    <row r="11" spans="1:14" ht="47.4" thickBot="1">
      <c r="A11" s="137" t="s">
        <v>525</v>
      </c>
      <c r="B11" s="134">
        <v>99330</v>
      </c>
      <c r="C11" s="66"/>
      <c r="D11" s="66"/>
      <c r="E11" s="66"/>
      <c r="F11" s="66"/>
      <c r="G11" s="66"/>
      <c r="H11" s="66"/>
      <c r="I11" s="66"/>
      <c r="J11" s="66"/>
      <c r="K11" s="66"/>
      <c r="L11" s="66"/>
      <c r="M11" s="66"/>
      <c r="N11" s="66"/>
    </row>
    <row r="12" spans="1:14" ht="47.4" thickBot="1">
      <c r="A12" s="137" t="s">
        <v>526</v>
      </c>
      <c r="B12" s="134">
        <v>65550</v>
      </c>
      <c r="C12" s="66"/>
      <c r="D12" s="66"/>
      <c r="E12" s="66"/>
      <c r="F12" s="66"/>
      <c r="G12" s="66"/>
      <c r="H12" s="66"/>
      <c r="I12" s="66"/>
      <c r="J12" s="66"/>
      <c r="K12" s="66"/>
      <c r="L12" s="66"/>
      <c r="M12" s="66"/>
      <c r="N12" s="66"/>
    </row>
    <row r="13" spans="1:14" ht="16.2" thickBot="1">
      <c r="A13" s="70"/>
      <c r="B13" s="66"/>
      <c r="C13" s="66"/>
      <c r="D13" s="66"/>
      <c r="E13" s="66"/>
      <c r="F13" s="66"/>
      <c r="G13" s="66"/>
      <c r="H13" s="66"/>
      <c r="I13" s="66"/>
      <c r="J13" s="66"/>
      <c r="K13" s="66"/>
      <c r="L13" s="66"/>
      <c r="M13" s="66"/>
      <c r="N13" s="66"/>
    </row>
    <row r="14" spans="1:14" ht="16.2" thickBot="1">
      <c r="A14" s="195"/>
      <c r="B14" s="1160" t="s">
        <v>527</v>
      </c>
      <c r="C14" s="1161"/>
      <c r="D14" s="1161"/>
      <c r="E14" s="1161"/>
      <c r="F14" s="1161"/>
      <c r="G14" s="1162"/>
      <c r="H14" s="66"/>
      <c r="I14" s="66"/>
      <c r="J14" s="66"/>
      <c r="K14" s="66"/>
      <c r="L14" s="66"/>
      <c r="M14" s="66"/>
      <c r="N14" s="66"/>
    </row>
    <row r="15" spans="1:14" ht="39.75" customHeight="1" thickBot="1">
      <c r="A15" s="195"/>
      <c r="B15" s="1158" t="s">
        <v>528</v>
      </c>
      <c r="C15" s="1163"/>
      <c r="D15" s="1159"/>
      <c r="E15" s="1158" t="s">
        <v>529</v>
      </c>
      <c r="F15" s="1163"/>
      <c r="G15" s="1159"/>
      <c r="H15" s="66"/>
      <c r="I15" s="66"/>
      <c r="J15" s="66"/>
      <c r="K15" s="66"/>
      <c r="L15" s="66"/>
      <c r="M15" s="66"/>
      <c r="N15" s="66"/>
    </row>
    <row r="16" spans="1:14" ht="31.8" thickBot="1">
      <c r="A16" s="197" t="s">
        <v>374</v>
      </c>
      <c r="B16" s="198" t="s">
        <v>530</v>
      </c>
      <c r="C16" s="140" t="s">
        <v>531</v>
      </c>
      <c r="D16" s="140" t="s">
        <v>532</v>
      </c>
      <c r="E16" s="198" t="s">
        <v>533</v>
      </c>
      <c r="F16" s="198" t="s">
        <v>534</v>
      </c>
      <c r="G16" s="198" t="s">
        <v>535</v>
      </c>
      <c r="H16" s="66"/>
      <c r="I16" s="66"/>
      <c r="J16" s="66"/>
      <c r="K16" s="66"/>
      <c r="L16" s="66"/>
      <c r="M16" s="66"/>
      <c r="N16" s="66"/>
    </row>
    <row r="17" spans="1:14" ht="16.2" thickBot="1">
      <c r="A17" s="171">
        <v>0</v>
      </c>
      <c r="B17" s="173">
        <v>141900</v>
      </c>
      <c r="C17" s="173">
        <v>99330</v>
      </c>
      <c r="D17" s="173">
        <v>25670</v>
      </c>
      <c r="E17" s="173">
        <v>38400</v>
      </c>
      <c r="F17" s="173">
        <v>39150</v>
      </c>
      <c r="G17" s="173">
        <v>40350</v>
      </c>
      <c r="H17" s="66"/>
      <c r="I17" s="66"/>
      <c r="J17" s="66"/>
      <c r="K17" s="66"/>
      <c r="L17" s="66"/>
      <c r="M17" s="66"/>
      <c r="N17" s="66"/>
    </row>
    <row r="18" spans="1:14" ht="16.2" thickBot="1">
      <c r="A18" s="171">
        <v>1</v>
      </c>
      <c r="B18" s="173">
        <v>147650</v>
      </c>
      <c r="C18" s="173">
        <v>105080</v>
      </c>
      <c r="D18" s="173">
        <v>22739</v>
      </c>
      <c r="E18" s="173">
        <v>39641</v>
      </c>
      <c r="F18" s="173">
        <v>40391</v>
      </c>
      <c r="G18" s="173">
        <v>41591</v>
      </c>
      <c r="H18" s="66"/>
      <c r="I18" s="66"/>
      <c r="J18" s="66"/>
      <c r="K18" s="66"/>
      <c r="L18" s="66"/>
      <c r="M18" s="66"/>
      <c r="N18" s="66"/>
    </row>
    <row r="19" spans="1:14" ht="16.2" thickBot="1">
      <c r="A19" s="171">
        <v>2</v>
      </c>
      <c r="B19" s="173">
        <v>140151</v>
      </c>
      <c r="C19" s="173">
        <v>98106</v>
      </c>
      <c r="D19" s="173">
        <v>24444</v>
      </c>
      <c r="E19" s="173">
        <v>40711</v>
      </c>
      <c r="F19" s="173">
        <v>41461</v>
      </c>
      <c r="G19" s="173">
        <v>42661</v>
      </c>
      <c r="H19" s="66"/>
      <c r="I19" s="66"/>
      <c r="J19" s="66"/>
      <c r="K19" s="66"/>
      <c r="L19" s="66"/>
      <c r="M19" s="66"/>
      <c r="N19" s="66"/>
    </row>
    <row r="20" spans="1:14" ht="16.2" thickBot="1">
      <c r="A20" s="171">
        <v>3</v>
      </c>
      <c r="B20" s="173">
        <v>137774</v>
      </c>
      <c r="C20" s="173">
        <v>96442</v>
      </c>
      <c r="D20" s="173">
        <v>25827</v>
      </c>
      <c r="E20" s="173">
        <v>41749</v>
      </c>
      <c r="F20" s="173">
        <v>42499</v>
      </c>
      <c r="G20" s="173">
        <v>43699</v>
      </c>
      <c r="H20" s="66"/>
      <c r="I20" s="66"/>
      <c r="J20" s="66"/>
      <c r="K20" s="66"/>
      <c r="L20" s="66"/>
      <c r="M20" s="66"/>
      <c r="N20" s="66"/>
    </row>
    <row r="21" spans="1:14" ht="16.2" thickBot="1">
      <c r="A21" s="171">
        <v>4</v>
      </c>
      <c r="B21" s="173">
        <v>139388</v>
      </c>
      <c r="C21" s="173">
        <v>98056</v>
      </c>
      <c r="D21" s="173">
        <v>29194</v>
      </c>
      <c r="E21" s="173">
        <v>42771</v>
      </c>
      <c r="F21" s="173">
        <v>43521</v>
      </c>
      <c r="G21" s="173">
        <v>44721</v>
      </c>
      <c r="H21" s="66"/>
      <c r="I21" s="66"/>
      <c r="J21" s="66"/>
      <c r="K21" s="66"/>
      <c r="L21" s="66"/>
      <c r="M21" s="66"/>
      <c r="N21" s="66"/>
    </row>
    <row r="22" spans="1:14" ht="16.2" thickBot="1">
      <c r="A22" s="171">
        <v>5</v>
      </c>
      <c r="B22" s="173">
        <v>113125</v>
      </c>
      <c r="C22" s="173">
        <v>79187</v>
      </c>
      <c r="D22" s="173">
        <v>25229</v>
      </c>
      <c r="E22" s="173">
        <v>43785</v>
      </c>
      <c r="F22" s="173">
        <v>44535</v>
      </c>
      <c r="G22" s="173">
        <v>45735</v>
      </c>
      <c r="H22" s="66"/>
      <c r="I22" s="66"/>
      <c r="J22" s="66"/>
      <c r="K22" s="66"/>
      <c r="L22" s="66"/>
      <c r="M22" s="66"/>
      <c r="N22" s="66"/>
    </row>
    <row r="23" spans="1:14" ht="16.2" thickBot="1">
      <c r="A23" s="171">
        <v>6</v>
      </c>
      <c r="B23" s="173">
        <v>83094</v>
      </c>
      <c r="C23" s="173">
        <v>58166</v>
      </c>
      <c r="D23" s="173">
        <v>29161</v>
      </c>
      <c r="E23" s="173">
        <v>44794</v>
      </c>
      <c r="F23" s="173">
        <v>45544</v>
      </c>
      <c r="G23" s="173">
        <v>46744</v>
      </c>
      <c r="H23" s="66"/>
      <c r="I23" s="66"/>
      <c r="J23" s="66"/>
      <c r="K23" s="66"/>
      <c r="L23" s="66"/>
      <c r="M23" s="66"/>
      <c r="N23" s="66"/>
    </row>
    <row r="24" spans="1:14" ht="16.2" thickBot="1">
      <c r="A24" s="171">
        <v>7</v>
      </c>
      <c r="B24" s="173">
        <v>78224</v>
      </c>
      <c r="C24" s="173">
        <v>54757</v>
      </c>
      <c r="D24" s="173">
        <v>25806</v>
      </c>
      <c r="E24" s="173">
        <v>45801</v>
      </c>
      <c r="F24" s="173">
        <v>46551</v>
      </c>
      <c r="G24" s="173">
        <v>47751</v>
      </c>
      <c r="H24" s="66"/>
      <c r="I24" s="66"/>
      <c r="J24" s="66"/>
      <c r="K24" s="66"/>
      <c r="L24" s="66"/>
      <c r="M24" s="66"/>
      <c r="N24" s="66"/>
    </row>
    <row r="25" spans="1:14" ht="16.2" thickBot="1">
      <c r="A25" s="171">
        <v>8</v>
      </c>
      <c r="B25" s="173">
        <v>54345</v>
      </c>
      <c r="C25" s="173">
        <v>38041</v>
      </c>
      <c r="D25" s="173">
        <v>16078</v>
      </c>
      <c r="E25" s="173">
        <v>46806</v>
      </c>
      <c r="F25" s="173">
        <v>47556</v>
      </c>
      <c r="G25" s="173">
        <v>48756</v>
      </c>
      <c r="H25" s="66"/>
      <c r="I25" s="66"/>
      <c r="J25" s="66"/>
      <c r="K25" s="66"/>
      <c r="L25" s="66"/>
      <c r="M25" s="66"/>
      <c r="N25" s="66"/>
    </row>
    <row r="26" spans="1:14" ht="16.2" thickBot="1">
      <c r="A26" s="171">
        <v>9</v>
      </c>
      <c r="B26" s="173">
        <v>46256</v>
      </c>
      <c r="C26" s="173">
        <v>32379</v>
      </c>
      <c r="D26" s="173">
        <v>9847</v>
      </c>
      <c r="E26" s="173">
        <v>47811</v>
      </c>
      <c r="F26" s="173">
        <v>48561</v>
      </c>
      <c r="G26" s="173">
        <v>49761</v>
      </c>
      <c r="H26" s="66"/>
      <c r="I26" s="66"/>
      <c r="J26" s="66"/>
      <c r="K26" s="66"/>
      <c r="L26" s="66"/>
      <c r="M26" s="66"/>
      <c r="N26" s="66"/>
    </row>
    <row r="27" spans="1:14" ht="16.2" thickBot="1">
      <c r="A27" s="171">
        <v>10</v>
      </c>
      <c r="B27" s="173">
        <v>39162</v>
      </c>
      <c r="C27" s="173">
        <v>27413</v>
      </c>
      <c r="D27" s="173">
        <v>4463</v>
      </c>
      <c r="E27" s="173">
        <v>48815</v>
      </c>
      <c r="F27" s="173">
        <v>49565</v>
      </c>
      <c r="G27" s="173">
        <v>50765</v>
      </c>
      <c r="H27" s="66"/>
      <c r="I27" s="66"/>
      <c r="J27" s="66"/>
      <c r="K27" s="66"/>
      <c r="L27" s="66"/>
      <c r="M27" s="66"/>
      <c r="N27" s="66"/>
    </row>
    <row r="28" spans="1:14" ht="16.2" thickBot="1">
      <c r="A28" s="171">
        <v>11</v>
      </c>
      <c r="B28" s="173">
        <v>35676</v>
      </c>
      <c r="C28" s="173">
        <v>24973</v>
      </c>
      <c r="D28" s="173">
        <v>945</v>
      </c>
      <c r="E28" s="173">
        <v>49821</v>
      </c>
      <c r="F28" s="173">
        <v>50571</v>
      </c>
      <c r="G28" s="173">
        <v>51771</v>
      </c>
      <c r="H28" s="66"/>
      <c r="I28" s="66"/>
      <c r="J28" s="66"/>
      <c r="K28" s="66"/>
      <c r="L28" s="66"/>
      <c r="M28" s="66"/>
      <c r="N28" s="66"/>
    </row>
    <row r="29" spans="1:14" ht="16.2" thickBot="1">
      <c r="A29" s="171">
        <v>12</v>
      </c>
      <c r="B29" s="173">
        <v>29339</v>
      </c>
      <c r="C29" s="173">
        <v>20537</v>
      </c>
      <c r="D29" s="173">
        <v>-2531</v>
      </c>
      <c r="E29" s="173">
        <v>50827</v>
      </c>
      <c r="F29" s="173">
        <v>51577</v>
      </c>
      <c r="G29" s="173">
        <v>52777</v>
      </c>
      <c r="H29" s="66"/>
      <c r="I29" s="66"/>
      <c r="J29" s="66"/>
      <c r="K29" s="66"/>
      <c r="L29" s="66"/>
      <c r="M29" s="66"/>
      <c r="N29" s="66"/>
    </row>
    <row r="30" spans="1:14" ht="16.2" thickBot="1">
      <c r="A30" s="171">
        <v>13</v>
      </c>
      <c r="B30" s="173">
        <v>23229</v>
      </c>
      <c r="C30" s="173">
        <v>16260</v>
      </c>
      <c r="D30" s="173">
        <v>-6725</v>
      </c>
      <c r="E30" s="173">
        <v>51834</v>
      </c>
      <c r="F30" s="173">
        <v>52584</v>
      </c>
      <c r="G30" s="173">
        <v>53784</v>
      </c>
      <c r="H30" s="66"/>
      <c r="I30" s="66"/>
      <c r="J30" s="66"/>
      <c r="K30" s="66"/>
      <c r="L30" s="66"/>
      <c r="M30" s="66"/>
      <c r="N30" s="66"/>
    </row>
    <row r="31" spans="1:14" ht="16.2" thickBot="1">
      <c r="A31" s="171">
        <v>14</v>
      </c>
      <c r="B31" s="173">
        <v>18323</v>
      </c>
      <c r="C31" s="173">
        <v>12826</v>
      </c>
      <c r="D31" s="173">
        <v>-10439</v>
      </c>
      <c r="E31" s="173">
        <v>52842</v>
      </c>
      <c r="F31" s="173">
        <v>53592</v>
      </c>
      <c r="G31" s="173">
        <v>54792</v>
      </c>
      <c r="H31" s="66"/>
      <c r="I31" s="66"/>
      <c r="J31" s="66"/>
      <c r="K31" s="66"/>
      <c r="L31" s="66"/>
      <c r="M31" s="66"/>
      <c r="N31" s="66"/>
    </row>
    <row r="32" spans="1:14" ht="16.2" thickBot="1">
      <c r="A32" s="171">
        <v>15</v>
      </c>
      <c r="B32" s="173">
        <v>14030</v>
      </c>
      <c r="C32" s="173">
        <v>9821</v>
      </c>
      <c r="D32" s="173">
        <v>-13963</v>
      </c>
      <c r="E32" s="173">
        <v>53852</v>
      </c>
      <c r="F32" s="173">
        <v>54602</v>
      </c>
      <c r="G32" s="173">
        <v>55802</v>
      </c>
      <c r="H32" s="66"/>
      <c r="I32" s="66"/>
      <c r="J32" s="66"/>
      <c r="K32" s="66"/>
      <c r="L32" s="66"/>
      <c r="M32" s="66"/>
      <c r="N32" s="66"/>
    </row>
    <row r="33" spans="1:14" ht="16.2" thickBot="1">
      <c r="A33" s="171">
        <v>16</v>
      </c>
      <c r="B33" s="173">
        <v>10924</v>
      </c>
      <c r="C33" s="173">
        <v>7647</v>
      </c>
      <c r="D33" s="173">
        <v>-17543</v>
      </c>
      <c r="E33" s="173">
        <v>54863</v>
      </c>
      <c r="F33" s="173">
        <v>55613</v>
      </c>
      <c r="G33" s="173">
        <v>56813</v>
      </c>
      <c r="H33" s="66"/>
      <c r="I33" s="66"/>
      <c r="J33" s="66"/>
      <c r="K33" s="66"/>
      <c r="L33" s="66"/>
      <c r="M33" s="66"/>
      <c r="N33" s="66"/>
    </row>
    <row r="34" spans="1:14" ht="16.2" thickBot="1">
      <c r="A34" s="171">
        <v>17</v>
      </c>
      <c r="B34" s="173">
        <v>7918</v>
      </c>
      <c r="C34" s="173">
        <v>5543</v>
      </c>
      <c r="D34" s="173">
        <v>-21111</v>
      </c>
      <c r="E34" s="173">
        <v>55876</v>
      </c>
      <c r="F34" s="173">
        <v>56626</v>
      </c>
      <c r="G34" s="173">
        <v>57826</v>
      </c>
      <c r="H34" s="66"/>
      <c r="I34" s="66"/>
      <c r="J34" s="66"/>
      <c r="K34" s="66"/>
      <c r="L34" s="66"/>
      <c r="M34" s="66"/>
      <c r="N34" s="66"/>
    </row>
    <row r="35" spans="1:14" ht="16.2" thickBot="1">
      <c r="A35" s="171">
        <v>18</v>
      </c>
      <c r="B35" s="173">
        <v>7221</v>
      </c>
      <c r="C35" s="173">
        <v>5055</v>
      </c>
      <c r="D35" s="173">
        <v>-23458</v>
      </c>
      <c r="E35" s="173">
        <v>56890</v>
      </c>
      <c r="F35" s="173">
        <v>57640</v>
      </c>
      <c r="G35" s="173">
        <v>58840</v>
      </c>
      <c r="H35" s="66"/>
      <c r="I35" s="66"/>
      <c r="J35" s="66"/>
      <c r="K35" s="66"/>
      <c r="L35" s="66"/>
      <c r="M35" s="66"/>
      <c r="N35" s="66"/>
    </row>
    <row r="36" spans="1:14" ht="16.2" thickBot="1">
      <c r="A36" s="171">
        <v>19</v>
      </c>
      <c r="B36" s="173">
        <v>5762</v>
      </c>
      <c r="C36" s="173">
        <v>4033</v>
      </c>
      <c r="D36" s="173">
        <v>-26413</v>
      </c>
      <c r="E36" s="173">
        <v>57906</v>
      </c>
      <c r="F36" s="173">
        <v>58656</v>
      </c>
      <c r="G36" s="173">
        <v>59856</v>
      </c>
      <c r="H36" s="66"/>
      <c r="I36" s="66"/>
      <c r="J36" s="66"/>
      <c r="K36" s="66"/>
      <c r="L36" s="66"/>
      <c r="M36" s="66"/>
      <c r="N36" s="66"/>
    </row>
    <row r="37" spans="1:14" ht="16.2" thickBot="1">
      <c r="A37" s="171">
        <v>20</v>
      </c>
      <c r="B37" s="173">
        <v>4390</v>
      </c>
      <c r="C37" s="173">
        <v>3073</v>
      </c>
      <c r="D37" s="173">
        <v>-29604</v>
      </c>
      <c r="E37" s="173">
        <v>58923</v>
      </c>
      <c r="F37" s="173">
        <v>59673</v>
      </c>
      <c r="G37" s="173">
        <v>60873</v>
      </c>
      <c r="H37" s="66"/>
      <c r="I37" s="66"/>
      <c r="J37" s="66"/>
      <c r="K37" s="66"/>
      <c r="L37" s="66"/>
      <c r="M37" s="66"/>
      <c r="N37" s="66"/>
    </row>
    <row r="38" spans="1:14" ht="16.2" thickBot="1">
      <c r="A38" s="171">
        <v>21</v>
      </c>
      <c r="B38" s="173">
        <v>3307</v>
      </c>
      <c r="C38" s="173">
        <v>2315</v>
      </c>
      <c r="D38" s="173">
        <v>-33176</v>
      </c>
      <c r="E38" s="173">
        <v>59943</v>
      </c>
      <c r="F38" s="173">
        <v>60693</v>
      </c>
      <c r="G38" s="173">
        <v>61893</v>
      </c>
      <c r="H38" s="66"/>
      <c r="I38" s="66"/>
      <c r="J38" s="66"/>
      <c r="K38" s="66"/>
      <c r="L38" s="66"/>
      <c r="M38" s="66"/>
      <c r="N38" s="66"/>
    </row>
    <row r="39" spans="1:14" ht="16.2" thickBot="1">
      <c r="A39" s="171">
        <v>22</v>
      </c>
      <c r="B39" s="173">
        <v>2563</v>
      </c>
      <c r="C39" s="173">
        <v>1794</v>
      </c>
      <c r="D39" s="173">
        <v>-36368</v>
      </c>
      <c r="E39" s="173">
        <v>60963</v>
      </c>
      <c r="F39" s="173">
        <v>61713</v>
      </c>
      <c r="G39" s="173">
        <v>62913</v>
      </c>
      <c r="H39" s="66"/>
      <c r="I39" s="66"/>
      <c r="J39" s="66"/>
      <c r="K39" s="66"/>
      <c r="L39" s="66"/>
      <c r="M39" s="66"/>
      <c r="N39" s="66"/>
    </row>
    <row r="40" spans="1:14" ht="16.2" thickBot="1">
      <c r="A40" s="171">
        <v>23</v>
      </c>
      <c r="B40" s="173">
        <v>2217</v>
      </c>
      <c r="C40" s="173">
        <v>1552</v>
      </c>
      <c r="D40" s="173">
        <v>-39427</v>
      </c>
      <c r="E40" s="173">
        <v>61986</v>
      </c>
      <c r="F40" s="173">
        <v>62736</v>
      </c>
      <c r="G40" s="173">
        <v>63936</v>
      </c>
      <c r="H40" s="66"/>
      <c r="I40" s="66"/>
      <c r="J40" s="66"/>
      <c r="K40" s="66"/>
      <c r="L40" s="66"/>
      <c r="M40" s="66"/>
      <c r="N40" s="66"/>
    </row>
    <row r="41" spans="1:14" ht="16.2" thickBot="1">
      <c r="A41" s="171">
        <v>24</v>
      </c>
      <c r="B41" s="173">
        <v>1862</v>
      </c>
      <c r="C41" s="173">
        <v>1303</v>
      </c>
      <c r="D41" s="173">
        <v>-42255</v>
      </c>
      <c r="E41" s="173">
        <v>63010</v>
      </c>
      <c r="F41" s="173">
        <v>63760</v>
      </c>
      <c r="G41" s="173">
        <v>64960</v>
      </c>
      <c r="H41" s="66"/>
      <c r="I41" s="66"/>
      <c r="J41" s="66"/>
      <c r="K41" s="66"/>
      <c r="L41" s="66"/>
      <c r="M41" s="66"/>
      <c r="N41" s="66"/>
    </row>
    <row r="42" spans="1:14" ht="16.2" thickBot="1">
      <c r="A42" s="171">
        <v>25</v>
      </c>
      <c r="B42" s="172" t="s">
        <v>536</v>
      </c>
      <c r="C42" s="172" t="s">
        <v>536</v>
      </c>
      <c r="D42" s="173">
        <v>-47411</v>
      </c>
      <c r="E42" s="173">
        <v>64036</v>
      </c>
      <c r="F42" s="173">
        <v>64786</v>
      </c>
      <c r="G42" s="173">
        <v>65986</v>
      </c>
      <c r="H42" s="66"/>
      <c r="I42" s="66"/>
      <c r="J42" s="66"/>
      <c r="K42" s="66"/>
      <c r="L42" s="66"/>
      <c r="M42" s="66"/>
      <c r="N42" s="66"/>
    </row>
    <row r="43" spans="1:14" ht="16.2" thickBot="1">
      <c r="A43" s="171">
        <v>26</v>
      </c>
      <c r="B43" s="172" t="s">
        <v>536</v>
      </c>
      <c r="C43" s="172" t="s">
        <v>536</v>
      </c>
      <c r="D43" s="173">
        <v>-52523</v>
      </c>
      <c r="E43" s="173">
        <v>65063</v>
      </c>
      <c r="F43" s="173">
        <v>65813</v>
      </c>
      <c r="G43" s="173">
        <v>67013</v>
      </c>
      <c r="H43" s="66"/>
      <c r="I43" s="66"/>
      <c r="J43" s="66"/>
      <c r="K43" s="66"/>
      <c r="L43" s="66"/>
      <c r="M43" s="66"/>
      <c r="N43" s="66"/>
    </row>
    <row r="44" spans="1:14" ht="16.2" thickBot="1">
      <c r="A44" s="171">
        <v>27</v>
      </c>
      <c r="B44" s="172" t="s">
        <v>536</v>
      </c>
      <c r="C44" s="172" t="s">
        <v>536</v>
      </c>
      <c r="D44" s="173">
        <v>-58021</v>
      </c>
      <c r="E44" s="173">
        <v>66093</v>
      </c>
      <c r="F44" s="173">
        <v>66843</v>
      </c>
      <c r="G44" s="173">
        <v>68043</v>
      </c>
      <c r="H44" s="66"/>
      <c r="I44" s="66"/>
      <c r="J44" s="66"/>
      <c r="K44" s="66"/>
      <c r="L44" s="66"/>
      <c r="M44" s="66"/>
      <c r="N44" s="66"/>
    </row>
    <row r="45" spans="1:14" ht="16.2" thickBot="1">
      <c r="A45" s="171">
        <v>28</v>
      </c>
      <c r="B45" s="172" t="s">
        <v>536</v>
      </c>
      <c r="C45" s="172" t="s">
        <v>536</v>
      </c>
      <c r="D45" s="173">
        <v>-62027</v>
      </c>
      <c r="E45" s="173">
        <v>67124</v>
      </c>
      <c r="F45" s="173">
        <v>67874</v>
      </c>
      <c r="G45" s="173">
        <v>69074</v>
      </c>
      <c r="H45" s="66"/>
      <c r="I45" s="66"/>
      <c r="J45" s="66"/>
      <c r="K45" s="66"/>
      <c r="L45" s="66"/>
      <c r="M45" s="66"/>
      <c r="N45" s="66"/>
    </row>
    <row r="46" spans="1:14" ht="16.2" thickBot="1">
      <c r="A46" s="171">
        <v>29</v>
      </c>
      <c r="B46" s="172" t="s">
        <v>536</v>
      </c>
      <c r="C46" s="172" t="s">
        <v>536</v>
      </c>
      <c r="D46" s="173">
        <v>-65420</v>
      </c>
      <c r="E46" s="173">
        <v>68156</v>
      </c>
      <c r="F46" s="173">
        <v>68906</v>
      </c>
      <c r="G46" s="173">
        <v>70106</v>
      </c>
      <c r="H46" s="66"/>
      <c r="I46" s="66"/>
      <c r="J46" s="66"/>
      <c r="K46" s="66"/>
      <c r="L46" s="66"/>
      <c r="M46" s="66"/>
      <c r="N46" s="66"/>
    </row>
    <row r="47" spans="1:14" ht="16.2" thickBot="1">
      <c r="A47" s="171">
        <v>30</v>
      </c>
      <c r="B47" s="172" t="s">
        <v>536</v>
      </c>
      <c r="C47" s="172" t="s">
        <v>536</v>
      </c>
      <c r="D47" s="173">
        <v>-69936</v>
      </c>
      <c r="E47" s="173">
        <v>69190</v>
      </c>
      <c r="F47" s="173">
        <v>69940</v>
      </c>
      <c r="G47" s="173">
        <v>71140</v>
      </c>
      <c r="H47" s="66"/>
      <c r="I47" s="66"/>
      <c r="J47" s="66"/>
      <c r="K47" s="66"/>
      <c r="L47" s="66"/>
      <c r="M47" s="66"/>
      <c r="N47" s="66"/>
    </row>
    <row r="48" spans="1:14" ht="15.6">
      <c r="A48" s="199"/>
      <c r="B48" s="199"/>
      <c r="C48" s="199"/>
      <c r="D48" s="200"/>
      <c r="E48" s="200"/>
      <c r="F48" s="200"/>
      <c r="G48" s="200"/>
      <c r="H48" s="66"/>
      <c r="I48" s="66"/>
      <c r="J48" s="66"/>
      <c r="K48" s="66"/>
      <c r="L48" s="66"/>
      <c r="M48" s="66"/>
      <c r="N48" s="66"/>
    </row>
    <row r="49" spans="1:14" ht="15.6">
      <c r="A49" s="166" t="s">
        <v>537</v>
      </c>
      <c r="B49" s="66"/>
      <c r="C49" s="66"/>
      <c r="D49" s="66"/>
      <c r="E49" s="66"/>
      <c r="F49" s="66"/>
      <c r="G49" s="66"/>
      <c r="H49" s="66"/>
      <c r="I49" s="66"/>
      <c r="J49" s="66"/>
      <c r="K49" s="66"/>
      <c r="L49" s="66"/>
      <c r="M49" s="66"/>
      <c r="N49" s="66"/>
    </row>
    <row r="50" spans="1:14" ht="15.6">
      <c r="A50" s="104" t="s">
        <v>24</v>
      </c>
    </row>
    <row r="51" spans="1:14">
      <c r="A51" s="85"/>
    </row>
  </sheetData>
  <mergeCells count="4">
    <mergeCell ref="A9:B9"/>
    <mergeCell ref="B14:G14"/>
    <mergeCell ref="B15:D15"/>
    <mergeCell ref="E15:G15"/>
  </mergeCells>
  <pageMargins left="0.7" right="0.7" top="0.75" bottom="0.75" header="0.3" footer="0.3"/>
  <pageSetup orientation="portrait" verticalDpi="9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8F15E-B1EF-46C4-9B14-8C397F8DE937}">
  <sheetPr codeName="Sheet54"/>
  <dimension ref="A1:N54"/>
  <sheetViews>
    <sheetView topLeftCell="A40" workbookViewId="0"/>
  </sheetViews>
  <sheetFormatPr defaultColWidth="9.21875" defaultRowHeight="14.4"/>
  <cols>
    <col min="1" max="1" width="13" style="67" customWidth="1"/>
    <col min="2" max="4" width="21" style="67" customWidth="1"/>
    <col min="5" max="7" width="16.21875" style="67" customWidth="1"/>
    <col min="8" max="16384" width="9.21875" style="67"/>
  </cols>
  <sheetData>
    <row r="1" spans="1:14" ht="17.399999999999999">
      <c r="A1" s="65" t="s">
        <v>518</v>
      </c>
      <c r="B1" s="66"/>
      <c r="C1" s="66"/>
      <c r="D1" s="66"/>
      <c r="E1" s="66"/>
      <c r="F1" s="66"/>
      <c r="G1" s="66"/>
      <c r="H1" s="66"/>
      <c r="I1" s="66"/>
      <c r="J1" s="66"/>
      <c r="K1" s="66"/>
      <c r="L1" s="66"/>
      <c r="M1" s="66"/>
      <c r="N1" s="66"/>
    </row>
    <row r="2" spans="1:14" ht="15.6">
      <c r="A2" s="68" t="s">
        <v>519</v>
      </c>
      <c r="B2" s="66"/>
      <c r="C2" s="66"/>
      <c r="D2" s="66"/>
      <c r="E2" s="66"/>
      <c r="F2" s="66"/>
      <c r="G2" s="66"/>
      <c r="H2" s="66"/>
      <c r="I2" s="66"/>
      <c r="J2" s="66"/>
      <c r="K2" s="66"/>
      <c r="L2" s="66"/>
      <c r="M2" s="66"/>
      <c r="N2" s="66"/>
    </row>
    <row r="3" spans="1:14" ht="15.6">
      <c r="A3" s="68" t="s">
        <v>520</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521</v>
      </c>
      <c r="B5" s="66"/>
      <c r="C5" s="66"/>
      <c r="D5" s="66"/>
      <c r="E5" s="66"/>
      <c r="F5" s="66"/>
      <c r="G5" s="66"/>
      <c r="H5" s="66"/>
      <c r="I5" s="66"/>
      <c r="J5" s="66"/>
      <c r="K5" s="66"/>
      <c r="L5" s="66"/>
      <c r="M5" s="66"/>
      <c r="N5" s="66"/>
    </row>
    <row r="6" spans="1:14" ht="15.6">
      <c r="A6" s="157"/>
      <c r="B6" s="66"/>
      <c r="C6" s="66"/>
      <c r="D6" s="66"/>
      <c r="E6" s="66"/>
      <c r="F6" s="66"/>
      <c r="G6" s="66"/>
      <c r="H6" s="66"/>
      <c r="I6" s="66"/>
      <c r="J6" s="66"/>
      <c r="K6" s="66"/>
      <c r="L6" s="66"/>
      <c r="M6" s="66"/>
      <c r="N6" s="66"/>
    </row>
    <row r="7" spans="1:14" ht="15.6">
      <c r="A7" s="157" t="s">
        <v>522</v>
      </c>
      <c r="B7" s="66"/>
      <c r="C7" s="66"/>
      <c r="D7" s="66"/>
      <c r="E7" s="66"/>
      <c r="F7" s="66"/>
      <c r="G7" s="66"/>
      <c r="H7" s="66"/>
      <c r="I7" s="66"/>
      <c r="J7" s="66"/>
      <c r="K7" s="66"/>
      <c r="L7" s="66"/>
      <c r="M7" s="66"/>
      <c r="N7" s="66"/>
    </row>
    <row r="8" spans="1:14" ht="16.2" thickBot="1">
      <c r="A8" s="157"/>
      <c r="B8" s="66"/>
      <c r="C8" s="66"/>
      <c r="D8" s="66"/>
      <c r="E8" s="66"/>
      <c r="F8" s="66"/>
      <c r="G8" s="66"/>
      <c r="H8" s="66"/>
      <c r="I8" s="66"/>
      <c r="J8" s="66"/>
      <c r="K8" s="66"/>
      <c r="L8" s="66"/>
      <c r="M8" s="66"/>
      <c r="N8" s="66"/>
    </row>
    <row r="9" spans="1:14" ht="39.75" customHeight="1" thickBot="1">
      <c r="A9" s="1158" t="s">
        <v>523</v>
      </c>
      <c r="B9" s="1159"/>
      <c r="C9" s="66"/>
      <c r="D9" s="66"/>
      <c r="E9" s="66"/>
      <c r="F9" s="66"/>
      <c r="G9" s="66"/>
      <c r="H9" s="66"/>
      <c r="I9" s="66"/>
      <c r="J9" s="66"/>
      <c r="K9" s="66"/>
      <c r="L9" s="66"/>
      <c r="M9" s="66"/>
      <c r="N9" s="66"/>
    </row>
    <row r="10" spans="1:14" ht="31.8" thickBot="1">
      <c r="A10" s="137" t="s">
        <v>524</v>
      </c>
      <c r="B10" s="134">
        <v>125000</v>
      </c>
      <c r="C10" s="66"/>
      <c r="D10" s="66"/>
      <c r="E10" s="66"/>
      <c r="F10" s="66"/>
      <c r="G10" s="66"/>
      <c r="H10" s="66"/>
      <c r="I10" s="66"/>
      <c r="J10" s="66"/>
      <c r="K10" s="66"/>
      <c r="L10" s="66"/>
      <c r="M10" s="66"/>
      <c r="N10" s="66"/>
    </row>
    <row r="11" spans="1:14" ht="47.4" thickBot="1">
      <c r="A11" s="137" t="s">
        <v>525</v>
      </c>
      <c r="B11" s="134">
        <v>99330</v>
      </c>
      <c r="C11" s="66"/>
      <c r="D11" s="66"/>
      <c r="E11" s="66"/>
      <c r="F11" s="66"/>
      <c r="G11" s="66"/>
      <c r="H11" s="66"/>
      <c r="I11" s="66"/>
      <c r="J11" s="66"/>
      <c r="K11" s="66"/>
      <c r="L11" s="66"/>
      <c r="M11" s="66"/>
      <c r="N11" s="66"/>
    </row>
    <row r="12" spans="1:14" ht="47.4" thickBot="1">
      <c r="A12" s="137" t="s">
        <v>526</v>
      </c>
      <c r="B12" s="134">
        <v>65550</v>
      </c>
      <c r="C12" s="66"/>
      <c r="D12" s="66"/>
      <c r="E12" s="66"/>
      <c r="F12" s="66"/>
      <c r="G12" s="66"/>
      <c r="H12" s="66"/>
      <c r="I12" s="66"/>
      <c r="J12" s="66"/>
      <c r="K12" s="66"/>
      <c r="L12" s="66"/>
      <c r="M12" s="66"/>
      <c r="N12" s="66"/>
    </row>
    <row r="13" spans="1:14" ht="16.2" thickBot="1">
      <c r="A13" s="70"/>
      <c r="B13" s="66"/>
      <c r="C13" s="66"/>
      <c r="D13" s="66"/>
      <c r="E13" s="66"/>
      <c r="F13" s="66"/>
      <c r="G13" s="66"/>
      <c r="H13" s="66"/>
      <c r="I13" s="66"/>
      <c r="J13" s="66"/>
      <c r="K13" s="66"/>
      <c r="L13" s="66"/>
      <c r="M13" s="66"/>
      <c r="N13" s="66"/>
    </row>
    <row r="14" spans="1:14" ht="16.2" thickBot="1">
      <c r="A14" s="195"/>
      <c r="B14" s="1160" t="s">
        <v>527</v>
      </c>
      <c r="C14" s="1161"/>
      <c r="D14" s="1161"/>
      <c r="E14" s="1161"/>
      <c r="F14" s="1161"/>
      <c r="G14" s="1162"/>
      <c r="H14" s="66"/>
      <c r="I14" s="66"/>
      <c r="J14" s="66"/>
      <c r="K14" s="66"/>
      <c r="L14" s="66"/>
      <c r="M14" s="66"/>
      <c r="N14" s="66"/>
    </row>
    <row r="15" spans="1:14" ht="39.75" customHeight="1" thickBot="1">
      <c r="A15" s="195"/>
      <c r="B15" s="1158" t="s">
        <v>528</v>
      </c>
      <c r="C15" s="1163"/>
      <c r="D15" s="1159"/>
      <c r="E15" s="1158" t="s">
        <v>529</v>
      </c>
      <c r="F15" s="1163"/>
      <c r="G15" s="1159"/>
      <c r="H15" s="66"/>
      <c r="I15" s="66"/>
      <c r="J15" s="66"/>
      <c r="K15" s="66"/>
      <c r="L15" s="66"/>
      <c r="M15" s="66"/>
      <c r="N15" s="66"/>
    </row>
    <row r="16" spans="1:14" ht="31.8" thickBot="1">
      <c r="A16" s="197" t="s">
        <v>374</v>
      </c>
      <c r="B16" s="198" t="s">
        <v>530</v>
      </c>
      <c r="C16" s="140" t="s">
        <v>531</v>
      </c>
      <c r="D16" s="140" t="s">
        <v>532</v>
      </c>
      <c r="E16" s="198" t="s">
        <v>533</v>
      </c>
      <c r="F16" s="198" t="s">
        <v>534</v>
      </c>
      <c r="G16" s="198" t="s">
        <v>535</v>
      </c>
      <c r="H16" s="66"/>
      <c r="I16" s="66"/>
      <c r="J16" s="66"/>
      <c r="K16" s="66"/>
      <c r="L16" s="66"/>
      <c r="M16" s="66"/>
      <c r="N16" s="66"/>
    </row>
    <row r="17" spans="1:14" ht="16.2" thickBot="1">
      <c r="A17" s="171">
        <v>0</v>
      </c>
      <c r="B17" s="173">
        <v>141900</v>
      </c>
      <c r="C17" s="173">
        <v>99330</v>
      </c>
      <c r="D17" s="173">
        <v>25670</v>
      </c>
      <c r="E17" s="173">
        <v>38400</v>
      </c>
      <c r="F17" s="173">
        <v>39150</v>
      </c>
      <c r="G17" s="173">
        <v>40350</v>
      </c>
      <c r="H17" s="66"/>
      <c r="I17" s="66"/>
      <c r="J17" s="66"/>
      <c r="K17" s="66"/>
      <c r="L17" s="66"/>
      <c r="M17" s="66"/>
      <c r="N17" s="66"/>
    </row>
    <row r="18" spans="1:14" ht="16.2" thickBot="1">
      <c r="A18" s="171">
        <v>1</v>
      </c>
      <c r="B18" s="173">
        <v>147650</v>
      </c>
      <c r="C18" s="173">
        <v>105080</v>
      </c>
      <c r="D18" s="173">
        <v>22739</v>
      </c>
      <c r="E18" s="173">
        <v>39641</v>
      </c>
      <c r="F18" s="173">
        <v>40391</v>
      </c>
      <c r="G18" s="173">
        <v>41591</v>
      </c>
      <c r="H18" s="66"/>
      <c r="I18" s="66"/>
      <c r="J18" s="66"/>
      <c r="K18" s="66"/>
      <c r="L18" s="66"/>
      <c r="M18" s="66"/>
      <c r="N18" s="66"/>
    </row>
    <row r="19" spans="1:14" ht="16.2" thickBot="1">
      <c r="A19" s="171">
        <v>2</v>
      </c>
      <c r="B19" s="173">
        <v>140151</v>
      </c>
      <c r="C19" s="173">
        <v>98106</v>
      </c>
      <c r="D19" s="173">
        <v>24444</v>
      </c>
      <c r="E19" s="173">
        <v>40711</v>
      </c>
      <c r="F19" s="173">
        <v>41461</v>
      </c>
      <c r="G19" s="173">
        <v>42661</v>
      </c>
      <c r="H19" s="66"/>
      <c r="I19" s="66"/>
      <c r="J19" s="66"/>
      <c r="K19" s="66"/>
      <c r="L19" s="66"/>
      <c r="M19" s="66"/>
      <c r="N19" s="66"/>
    </row>
    <row r="20" spans="1:14" ht="16.2" thickBot="1">
      <c r="A20" s="171">
        <v>3</v>
      </c>
      <c r="B20" s="173">
        <v>137774</v>
      </c>
      <c r="C20" s="173">
        <v>96442</v>
      </c>
      <c r="D20" s="173">
        <v>25827</v>
      </c>
      <c r="E20" s="173">
        <v>41749</v>
      </c>
      <c r="F20" s="173">
        <v>42499</v>
      </c>
      <c r="G20" s="173">
        <v>43699</v>
      </c>
      <c r="H20" s="66"/>
      <c r="I20" s="66"/>
      <c r="J20" s="66"/>
      <c r="K20" s="66"/>
      <c r="L20" s="66"/>
      <c r="M20" s="66"/>
      <c r="N20" s="66"/>
    </row>
    <row r="21" spans="1:14" ht="16.2" thickBot="1">
      <c r="A21" s="171">
        <v>4</v>
      </c>
      <c r="B21" s="173">
        <v>139388</v>
      </c>
      <c r="C21" s="173">
        <v>98056</v>
      </c>
      <c r="D21" s="173">
        <v>29194</v>
      </c>
      <c r="E21" s="173">
        <v>42771</v>
      </c>
      <c r="F21" s="173">
        <v>43521</v>
      </c>
      <c r="G21" s="173">
        <v>44721</v>
      </c>
      <c r="H21" s="66"/>
      <c r="I21" s="66"/>
      <c r="J21" s="66"/>
      <c r="K21" s="66"/>
      <c r="L21" s="66"/>
      <c r="M21" s="66"/>
      <c r="N21" s="66"/>
    </row>
    <row r="22" spans="1:14" ht="16.2" thickBot="1">
      <c r="A22" s="171">
        <v>5</v>
      </c>
      <c r="B22" s="173">
        <v>113125</v>
      </c>
      <c r="C22" s="173">
        <v>79187</v>
      </c>
      <c r="D22" s="173">
        <v>25229</v>
      </c>
      <c r="E22" s="173">
        <v>43785</v>
      </c>
      <c r="F22" s="173">
        <v>44535</v>
      </c>
      <c r="G22" s="173">
        <v>45735</v>
      </c>
      <c r="H22" s="66"/>
      <c r="I22" s="66"/>
      <c r="J22" s="66"/>
      <c r="K22" s="66"/>
      <c r="L22" s="66"/>
      <c r="M22" s="66"/>
      <c r="N22" s="66"/>
    </row>
    <row r="23" spans="1:14" ht="16.2" thickBot="1">
      <c r="A23" s="171">
        <v>6</v>
      </c>
      <c r="B23" s="173">
        <v>83094</v>
      </c>
      <c r="C23" s="173">
        <v>58166</v>
      </c>
      <c r="D23" s="173">
        <v>29161</v>
      </c>
      <c r="E23" s="173">
        <v>44794</v>
      </c>
      <c r="F23" s="173">
        <v>45544</v>
      </c>
      <c r="G23" s="173">
        <v>46744</v>
      </c>
      <c r="H23" s="66"/>
      <c r="I23" s="66"/>
      <c r="J23" s="66"/>
      <c r="K23" s="66"/>
      <c r="L23" s="66"/>
      <c r="M23" s="66"/>
      <c r="N23" s="66"/>
    </row>
    <row r="24" spans="1:14" ht="16.2" thickBot="1">
      <c r="A24" s="171">
        <v>7</v>
      </c>
      <c r="B24" s="173">
        <v>78224</v>
      </c>
      <c r="C24" s="173">
        <v>54757</v>
      </c>
      <c r="D24" s="173">
        <v>25806</v>
      </c>
      <c r="E24" s="173">
        <v>45801</v>
      </c>
      <c r="F24" s="173">
        <v>46551</v>
      </c>
      <c r="G24" s="173">
        <v>47751</v>
      </c>
      <c r="H24" s="66"/>
      <c r="I24" s="66"/>
      <c r="J24" s="66"/>
      <c r="K24" s="66"/>
      <c r="L24" s="66"/>
      <c r="M24" s="66"/>
      <c r="N24" s="66"/>
    </row>
    <row r="25" spans="1:14" ht="16.2" thickBot="1">
      <c r="A25" s="171">
        <v>8</v>
      </c>
      <c r="B25" s="173">
        <v>54345</v>
      </c>
      <c r="C25" s="173">
        <v>38041</v>
      </c>
      <c r="D25" s="173">
        <v>16078</v>
      </c>
      <c r="E25" s="173">
        <v>46806</v>
      </c>
      <c r="F25" s="173">
        <v>47556</v>
      </c>
      <c r="G25" s="173">
        <v>48756</v>
      </c>
      <c r="H25" s="66"/>
      <c r="I25" s="66"/>
      <c r="J25" s="66"/>
      <c r="K25" s="66"/>
      <c r="L25" s="66"/>
      <c r="M25" s="66"/>
      <c r="N25" s="66"/>
    </row>
    <row r="26" spans="1:14" ht="16.2" thickBot="1">
      <c r="A26" s="171">
        <v>9</v>
      </c>
      <c r="B26" s="173">
        <v>46256</v>
      </c>
      <c r="C26" s="173">
        <v>32379</v>
      </c>
      <c r="D26" s="173">
        <v>9847</v>
      </c>
      <c r="E26" s="173">
        <v>47811</v>
      </c>
      <c r="F26" s="173">
        <v>48561</v>
      </c>
      <c r="G26" s="173">
        <v>49761</v>
      </c>
      <c r="H26" s="66"/>
      <c r="I26" s="66"/>
      <c r="J26" s="66"/>
      <c r="K26" s="66"/>
      <c r="L26" s="66"/>
      <c r="M26" s="66"/>
      <c r="N26" s="66"/>
    </row>
    <row r="27" spans="1:14" ht="16.2" thickBot="1">
      <c r="A27" s="171">
        <v>10</v>
      </c>
      <c r="B27" s="173">
        <v>39162</v>
      </c>
      <c r="C27" s="173">
        <v>27413</v>
      </c>
      <c r="D27" s="173">
        <v>4463</v>
      </c>
      <c r="E27" s="173">
        <v>48815</v>
      </c>
      <c r="F27" s="173">
        <v>49565</v>
      </c>
      <c r="G27" s="173">
        <v>50765</v>
      </c>
      <c r="H27" s="66"/>
      <c r="I27" s="66"/>
      <c r="J27" s="66"/>
      <c r="K27" s="66"/>
      <c r="L27" s="66"/>
      <c r="M27" s="66"/>
      <c r="N27" s="66"/>
    </row>
    <row r="28" spans="1:14" ht="16.2" thickBot="1">
      <c r="A28" s="171">
        <v>11</v>
      </c>
      <c r="B28" s="173">
        <v>35676</v>
      </c>
      <c r="C28" s="173">
        <v>24973</v>
      </c>
      <c r="D28" s="173">
        <v>945</v>
      </c>
      <c r="E28" s="173">
        <v>49821</v>
      </c>
      <c r="F28" s="173">
        <v>50571</v>
      </c>
      <c r="G28" s="173">
        <v>51771</v>
      </c>
      <c r="H28" s="66"/>
      <c r="I28" s="66"/>
      <c r="J28" s="66"/>
      <c r="K28" s="66"/>
      <c r="L28" s="66"/>
      <c r="M28" s="66"/>
      <c r="N28" s="66"/>
    </row>
    <row r="29" spans="1:14" ht="16.2" thickBot="1">
      <c r="A29" s="171">
        <v>12</v>
      </c>
      <c r="B29" s="173">
        <v>29339</v>
      </c>
      <c r="C29" s="173">
        <v>20537</v>
      </c>
      <c r="D29" s="173">
        <v>-2531</v>
      </c>
      <c r="E29" s="173">
        <v>50827</v>
      </c>
      <c r="F29" s="173">
        <v>51577</v>
      </c>
      <c r="G29" s="173">
        <v>52777</v>
      </c>
      <c r="H29" s="66"/>
      <c r="I29" s="66"/>
      <c r="J29" s="66"/>
      <c r="K29" s="66"/>
      <c r="L29" s="66"/>
      <c r="M29" s="66"/>
      <c r="N29" s="66"/>
    </row>
    <row r="30" spans="1:14" ht="16.2" thickBot="1">
      <c r="A30" s="171">
        <v>13</v>
      </c>
      <c r="B30" s="173">
        <v>23229</v>
      </c>
      <c r="C30" s="173">
        <v>16260</v>
      </c>
      <c r="D30" s="173">
        <v>-6725</v>
      </c>
      <c r="E30" s="173">
        <v>51834</v>
      </c>
      <c r="F30" s="173">
        <v>52584</v>
      </c>
      <c r="G30" s="173">
        <v>53784</v>
      </c>
      <c r="H30" s="66"/>
      <c r="I30" s="66"/>
      <c r="J30" s="66"/>
      <c r="K30" s="66"/>
      <c r="L30" s="66"/>
      <c r="M30" s="66"/>
      <c r="N30" s="66"/>
    </row>
    <row r="31" spans="1:14" ht="16.2" thickBot="1">
      <c r="A31" s="171">
        <v>14</v>
      </c>
      <c r="B31" s="173">
        <v>18323</v>
      </c>
      <c r="C31" s="173">
        <v>12826</v>
      </c>
      <c r="D31" s="173">
        <v>-10439</v>
      </c>
      <c r="E31" s="173">
        <v>52842</v>
      </c>
      <c r="F31" s="173">
        <v>53592</v>
      </c>
      <c r="G31" s="173">
        <v>54792</v>
      </c>
      <c r="H31" s="66"/>
      <c r="I31" s="66"/>
      <c r="J31" s="66"/>
      <c r="K31" s="66"/>
      <c r="L31" s="66"/>
      <c r="M31" s="66"/>
      <c r="N31" s="66"/>
    </row>
    <row r="32" spans="1:14" ht="16.2" thickBot="1">
      <c r="A32" s="171">
        <v>15</v>
      </c>
      <c r="B32" s="173">
        <v>14030</v>
      </c>
      <c r="C32" s="173">
        <v>9821</v>
      </c>
      <c r="D32" s="173">
        <v>-13963</v>
      </c>
      <c r="E32" s="173">
        <v>53852</v>
      </c>
      <c r="F32" s="173">
        <v>54602</v>
      </c>
      <c r="G32" s="173">
        <v>55802</v>
      </c>
      <c r="H32" s="66"/>
      <c r="I32" s="66"/>
      <c r="J32" s="66"/>
      <c r="K32" s="66"/>
      <c r="L32" s="66"/>
      <c r="M32" s="66"/>
      <c r="N32" s="66"/>
    </row>
    <row r="33" spans="1:14" ht="16.2" thickBot="1">
      <c r="A33" s="171">
        <v>16</v>
      </c>
      <c r="B33" s="173">
        <v>10924</v>
      </c>
      <c r="C33" s="173">
        <v>7647</v>
      </c>
      <c r="D33" s="173">
        <v>-17543</v>
      </c>
      <c r="E33" s="173">
        <v>54863</v>
      </c>
      <c r="F33" s="173">
        <v>55613</v>
      </c>
      <c r="G33" s="173">
        <v>56813</v>
      </c>
      <c r="H33" s="66"/>
      <c r="I33" s="66"/>
      <c r="J33" s="66"/>
      <c r="K33" s="66"/>
      <c r="L33" s="66"/>
      <c r="M33" s="66"/>
      <c r="N33" s="66"/>
    </row>
    <row r="34" spans="1:14" ht="16.2" thickBot="1">
      <c r="A34" s="171">
        <v>17</v>
      </c>
      <c r="B34" s="173">
        <v>7918</v>
      </c>
      <c r="C34" s="173">
        <v>5543</v>
      </c>
      <c r="D34" s="173">
        <v>-21111</v>
      </c>
      <c r="E34" s="173">
        <v>55876</v>
      </c>
      <c r="F34" s="173">
        <v>56626</v>
      </c>
      <c r="G34" s="173">
        <v>57826</v>
      </c>
      <c r="H34" s="66"/>
      <c r="I34" s="66"/>
      <c r="J34" s="66"/>
      <c r="K34" s="66"/>
      <c r="L34" s="66"/>
      <c r="M34" s="66"/>
      <c r="N34" s="66"/>
    </row>
    <row r="35" spans="1:14" ht="16.2" thickBot="1">
      <c r="A35" s="171">
        <v>18</v>
      </c>
      <c r="B35" s="173">
        <v>7221</v>
      </c>
      <c r="C35" s="173">
        <v>5055</v>
      </c>
      <c r="D35" s="173">
        <v>-23458</v>
      </c>
      <c r="E35" s="173">
        <v>56890</v>
      </c>
      <c r="F35" s="173">
        <v>57640</v>
      </c>
      <c r="G35" s="173">
        <v>58840</v>
      </c>
      <c r="H35" s="66"/>
      <c r="I35" s="66"/>
      <c r="J35" s="66"/>
      <c r="K35" s="66"/>
      <c r="L35" s="66"/>
      <c r="M35" s="66"/>
      <c r="N35" s="66"/>
    </row>
    <row r="36" spans="1:14" ht="16.2" thickBot="1">
      <c r="A36" s="171">
        <v>19</v>
      </c>
      <c r="B36" s="173">
        <v>5762</v>
      </c>
      <c r="C36" s="173">
        <v>4033</v>
      </c>
      <c r="D36" s="173">
        <v>-26413</v>
      </c>
      <c r="E36" s="173">
        <v>57906</v>
      </c>
      <c r="F36" s="173">
        <v>58656</v>
      </c>
      <c r="G36" s="173">
        <v>59856</v>
      </c>
      <c r="H36" s="66"/>
      <c r="I36" s="66"/>
      <c r="J36" s="66"/>
      <c r="K36" s="66"/>
      <c r="L36" s="66"/>
      <c r="M36" s="66"/>
      <c r="N36" s="66"/>
    </row>
    <row r="37" spans="1:14" ht="16.2" thickBot="1">
      <c r="A37" s="171">
        <v>20</v>
      </c>
      <c r="B37" s="173">
        <v>4390</v>
      </c>
      <c r="C37" s="173">
        <v>3073</v>
      </c>
      <c r="D37" s="173">
        <v>-29604</v>
      </c>
      <c r="E37" s="173">
        <v>58923</v>
      </c>
      <c r="F37" s="173">
        <v>59673</v>
      </c>
      <c r="G37" s="173">
        <v>60873</v>
      </c>
      <c r="H37" s="66"/>
      <c r="I37" s="66"/>
      <c r="J37" s="66"/>
      <c r="K37" s="66"/>
      <c r="L37" s="66"/>
      <c r="M37" s="66"/>
      <c r="N37" s="66"/>
    </row>
    <row r="38" spans="1:14" ht="16.2" thickBot="1">
      <c r="A38" s="171">
        <v>21</v>
      </c>
      <c r="B38" s="173">
        <v>3307</v>
      </c>
      <c r="C38" s="173">
        <v>2315</v>
      </c>
      <c r="D38" s="173">
        <v>-33176</v>
      </c>
      <c r="E38" s="173">
        <v>59943</v>
      </c>
      <c r="F38" s="173">
        <v>60693</v>
      </c>
      <c r="G38" s="173">
        <v>61893</v>
      </c>
      <c r="H38" s="66"/>
      <c r="I38" s="66"/>
      <c r="J38" s="66"/>
      <c r="K38" s="66"/>
      <c r="L38" s="66"/>
      <c r="M38" s="66"/>
      <c r="N38" s="66"/>
    </row>
    <row r="39" spans="1:14" ht="16.2" thickBot="1">
      <c r="A39" s="171">
        <v>22</v>
      </c>
      <c r="B39" s="173">
        <v>2563</v>
      </c>
      <c r="C39" s="173">
        <v>1794</v>
      </c>
      <c r="D39" s="173">
        <v>-36368</v>
      </c>
      <c r="E39" s="173">
        <v>60963</v>
      </c>
      <c r="F39" s="173">
        <v>61713</v>
      </c>
      <c r="G39" s="173">
        <v>62913</v>
      </c>
      <c r="H39" s="66"/>
      <c r="I39" s="66"/>
      <c r="J39" s="66"/>
      <c r="K39" s="66"/>
      <c r="L39" s="66"/>
      <c r="M39" s="66"/>
      <c r="N39" s="66"/>
    </row>
    <row r="40" spans="1:14" ht="16.2" thickBot="1">
      <c r="A40" s="171">
        <v>23</v>
      </c>
      <c r="B40" s="173">
        <v>2217</v>
      </c>
      <c r="C40" s="173">
        <v>1552</v>
      </c>
      <c r="D40" s="173">
        <v>-39427</v>
      </c>
      <c r="E40" s="173">
        <v>61986</v>
      </c>
      <c r="F40" s="173">
        <v>62736</v>
      </c>
      <c r="G40" s="173">
        <v>63936</v>
      </c>
      <c r="H40" s="66"/>
      <c r="I40" s="66"/>
      <c r="J40" s="66"/>
      <c r="K40" s="66"/>
      <c r="L40" s="66"/>
      <c r="M40" s="66"/>
      <c r="N40" s="66"/>
    </row>
    <row r="41" spans="1:14" ht="16.2" thickBot="1">
      <c r="A41" s="171">
        <v>24</v>
      </c>
      <c r="B41" s="173">
        <v>1862</v>
      </c>
      <c r="C41" s="173">
        <v>1303</v>
      </c>
      <c r="D41" s="173">
        <v>-42255</v>
      </c>
      <c r="E41" s="173">
        <v>63010</v>
      </c>
      <c r="F41" s="173">
        <v>63760</v>
      </c>
      <c r="G41" s="173">
        <v>64960</v>
      </c>
      <c r="H41" s="66"/>
      <c r="I41" s="66"/>
      <c r="J41" s="66"/>
      <c r="K41" s="66"/>
      <c r="L41" s="66"/>
      <c r="M41" s="66"/>
      <c r="N41" s="66"/>
    </row>
    <row r="42" spans="1:14" ht="16.2" thickBot="1">
      <c r="A42" s="171">
        <v>25</v>
      </c>
      <c r="B42" s="172" t="s">
        <v>536</v>
      </c>
      <c r="C42" s="172" t="s">
        <v>536</v>
      </c>
      <c r="D42" s="173">
        <v>-47411</v>
      </c>
      <c r="E42" s="173">
        <v>64036</v>
      </c>
      <c r="F42" s="173">
        <v>64786</v>
      </c>
      <c r="G42" s="173">
        <v>65986</v>
      </c>
      <c r="H42" s="66"/>
      <c r="I42" s="66"/>
      <c r="J42" s="66"/>
      <c r="K42" s="66"/>
      <c r="L42" s="66"/>
      <c r="M42" s="66"/>
      <c r="N42" s="66"/>
    </row>
    <row r="43" spans="1:14" ht="16.2" thickBot="1">
      <c r="A43" s="171">
        <v>26</v>
      </c>
      <c r="B43" s="172" t="s">
        <v>536</v>
      </c>
      <c r="C43" s="172" t="s">
        <v>536</v>
      </c>
      <c r="D43" s="173">
        <v>-52523</v>
      </c>
      <c r="E43" s="173">
        <v>65063</v>
      </c>
      <c r="F43" s="173">
        <v>65813</v>
      </c>
      <c r="G43" s="173">
        <v>67013</v>
      </c>
      <c r="H43" s="66"/>
      <c r="I43" s="66"/>
      <c r="J43" s="66"/>
      <c r="K43" s="66"/>
      <c r="L43" s="66"/>
      <c r="M43" s="66"/>
      <c r="N43" s="66"/>
    </row>
    <row r="44" spans="1:14" ht="16.2" thickBot="1">
      <c r="A44" s="171">
        <v>27</v>
      </c>
      <c r="B44" s="172" t="s">
        <v>536</v>
      </c>
      <c r="C44" s="172" t="s">
        <v>536</v>
      </c>
      <c r="D44" s="173">
        <v>-58021</v>
      </c>
      <c r="E44" s="173">
        <v>66093</v>
      </c>
      <c r="F44" s="173">
        <v>66843</v>
      </c>
      <c r="G44" s="173">
        <v>68043</v>
      </c>
      <c r="H44" s="66"/>
      <c r="I44" s="66"/>
      <c r="J44" s="66"/>
      <c r="K44" s="66"/>
      <c r="L44" s="66"/>
      <c r="M44" s="66"/>
      <c r="N44" s="66"/>
    </row>
    <row r="45" spans="1:14" ht="16.2" thickBot="1">
      <c r="A45" s="171">
        <v>28</v>
      </c>
      <c r="B45" s="172" t="s">
        <v>536</v>
      </c>
      <c r="C45" s="172" t="s">
        <v>536</v>
      </c>
      <c r="D45" s="173">
        <v>-62027</v>
      </c>
      <c r="E45" s="173">
        <v>67124</v>
      </c>
      <c r="F45" s="173">
        <v>67874</v>
      </c>
      <c r="G45" s="173">
        <v>69074</v>
      </c>
      <c r="H45" s="66"/>
      <c r="I45" s="66"/>
      <c r="J45" s="66"/>
      <c r="K45" s="66"/>
      <c r="L45" s="66"/>
      <c r="M45" s="66"/>
      <c r="N45" s="66"/>
    </row>
    <row r="46" spans="1:14" ht="16.2" thickBot="1">
      <c r="A46" s="171">
        <v>29</v>
      </c>
      <c r="B46" s="172" t="s">
        <v>536</v>
      </c>
      <c r="C46" s="172" t="s">
        <v>536</v>
      </c>
      <c r="D46" s="173">
        <v>-65420</v>
      </c>
      <c r="E46" s="173">
        <v>68156</v>
      </c>
      <c r="F46" s="173">
        <v>68906</v>
      </c>
      <c r="G46" s="173">
        <v>70106</v>
      </c>
      <c r="H46" s="66"/>
      <c r="I46" s="66"/>
      <c r="J46" s="66"/>
      <c r="K46" s="66"/>
      <c r="L46" s="66"/>
      <c r="M46" s="66"/>
      <c r="N46" s="66"/>
    </row>
    <row r="47" spans="1:14" ht="16.2" thickBot="1">
      <c r="A47" s="171">
        <v>30</v>
      </c>
      <c r="B47" s="172" t="s">
        <v>536</v>
      </c>
      <c r="C47" s="172" t="s">
        <v>536</v>
      </c>
      <c r="D47" s="173">
        <v>-69936</v>
      </c>
      <c r="E47" s="173">
        <v>69190</v>
      </c>
      <c r="F47" s="173">
        <v>69940</v>
      </c>
      <c r="G47" s="173">
        <v>71140</v>
      </c>
      <c r="H47" s="66"/>
      <c r="I47" s="66"/>
      <c r="J47" s="66"/>
      <c r="K47" s="66"/>
      <c r="L47" s="66"/>
      <c r="M47" s="66"/>
      <c r="N47" s="66"/>
    </row>
    <row r="48" spans="1:14" ht="15.6">
      <c r="A48" s="199"/>
      <c r="B48" s="199"/>
      <c r="C48" s="199"/>
      <c r="D48" s="200"/>
      <c r="E48" s="200"/>
      <c r="F48" s="200"/>
      <c r="G48" s="200"/>
      <c r="H48" s="66"/>
      <c r="I48" s="66"/>
      <c r="J48" s="66"/>
      <c r="K48" s="66"/>
      <c r="L48" s="66"/>
      <c r="M48" s="66"/>
      <c r="N48" s="66"/>
    </row>
    <row r="49" spans="1:14" ht="15.6">
      <c r="A49" s="166" t="s">
        <v>538</v>
      </c>
      <c r="B49" s="66"/>
      <c r="C49" s="66"/>
      <c r="D49" s="66"/>
      <c r="E49" s="66"/>
      <c r="F49" s="66"/>
      <c r="G49" s="66"/>
      <c r="H49" s="66"/>
      <c r="I49" s="66"/>
      <c r="J49" s="66"/>
      <c r="K49" s="66"/>
      <c r="L49" s="66"/>
      <c r="M49" s="66"/>
      <c r="N49" s="66"/>
    </row>
    <row r="50" spans="1:14" ht="15.6">
      <c r="A50" s="104" t="s">
        <v>24</v>
      </c>
    </row>
    <row r="51" spans="1:14">
      <c r="A51" s="85"/>
    </row>
    <row r="54" spans="1:14">
      <c r="A54" s="85"/>
    </row>
  </sheetData>
  <mergeCells count="4">
    <mergeCell ref="A9:B9"/>
    <mergeCell ref="B14:G14"/>
    <mergeCell ref="B15:D15"/>
    <mergeCell ref="E15:G15"/>
  </mergeCells>
  <pageMargins left="0.7" right="0.7" top="0.75" bottom="0.75" header="0.3" footer="0.3"/>
  <pageSetup orientation="portrait" verticalDpi="90"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B031F-632D-4852-96B3-03E4A3C25BC8}">
  <sheetPr codeName="Sheet55"/>
  <dimension ref="A1:N28"/>
  <sheetViews>
    <sheetView workbookViewId="0"/>
  </sheetViews>
  <sheetFormatPr defaultColWidth="9.21875" defaultRowHeight="14.4"/>
  <cols>
    <col min="1" max="1" width="13" style="67" customWidth="1"/>
    <col min="2" max="4" width="21" style="67" customWidth="1"/>
    <col min="5" max="7" width="16.21875" style="67" customWidth="1"/>
    <col min="8" max="16384" width="9.21875" style="67"/>
  </cols>
  <sheetData>
    <row r="1" spans="1:14" ht="17.399999999999999">
      <c r="A1" s="65" t="s">
        <v>518</v>
      </c>
      <c r="B1" s="66"/>
      <c r="C1" s="66"/>
      <c r="D1" s="66"/>
      <c r="E1" s="66"/>
      <c r="F1" s="66"/>
      <c r="G1" s="66"/>
      <c r="H1" s="66"/>
      <c r="I1" s="66"/>
      <c r="J1" s="66"/>
      <c r="K1" s="66"/>
      <c r="L1" s="66"/>
      <c r="M1" s="66"/>
      <c r="N1" s="66"/>
    </row>
    <row r="2" spans="1:14" ht="15.6">
      <c r="A2" s="68" t="s">
        <v>519</v>
      </c>
      <c r="B2" s="66"/>
      <c r="C2" s="66"/>
      <c r="D2" s="66"/>
      <c r="E2" s="66"/>
      <c r="F2" s="66"/>
      <c r="G2" s="66"/>
      <c r="H2" s="66"/>
      <c r="I2" s="66"/>
      <c r="J2" s="66"/>
      <c r="K2" s="66"/>
      <c r="L2" s="66"/>
      <c r="M2" s="66"/>
      <c r="N2" s="66"/>
    </row>
    <row r="3" spans="1:14" ht="15.6">
      <c r="A3" s="68" t="s">
        <v>520</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157" t="s">
        <v>539</v>
      </c>
      <c r="B5" s="66"/>
      <c r="C5" s="66"/>
      <c r="D5" s="66"/>
      <c r="E5" s="66"/>
      <c r="F5" s="66"/>
      <c r="G5" s="66"/>
      <c r="H5" s="66"/>
      <c r="I5" s="66"/>
      <c r="J5" s="66"/>
      <c r="K5" s="66"/>
      <c r="L5" s="66"/>
      <c r="M5" s="66"/>
      <c r="N5" s="66"/>
    </row>
    <row r="6" spans="1:14" ht="15.6">
      <c r="A6" s="157" t="s">
        <v>540</v>
      </c>
      <c r="B6" s="66"/>
      <c r="C6" s="66"/>
      <c r="D6" s="66"/>
      <c r="E6" s="66"/>
      <c r="F6" s="66"/>
      <c r="G6" s="66"/>
      <c r="H6" s="66"/>
      <c r="I6" s="66"/>
      <c r="J6" s="66"/>
      <c r="K6" s="66"/>
      <c r="L6" s="66"/>
      <c r="M6" s="66"/>
      <c r="N6" s="66"/>
    </row>
    <row r="7" spans="1:14" ht="15.6">
      <c r="A7" s="157"/>
      <c r="B7" s="66"/>
      <c r="C7" s="66"/>
      <c r="D7" s="66"/>
      <c r="E7" s="66"/>
      <c r="F7" s="66"/>
      <c r="G7" s="66"/>
      <c r="H7" s="66"/>
      <c r="I7" s="66"/>
      <c r="J7" s="66"/>
      <c r="K7" s="66"/>
      <c r="L7" s="66"/>
      <c r="M7" s="66"/>
      <c r="N7" s="66"/>
    </row>
    <row r="8" spans="1:14" ht="15.6">
      <c r="A8" s="157" t="s">
        <v>339</v>
      </c>
      <c r="B8" s="66"/>
      <c r="C8" s="66"/>
      <c r="D8" s="66"/>
      <c r="E8" s="66"/>
      <c r="F8" s="66"/>
      <c r="G8" s="66"/>
      <c r="H8" s="66"/>
      <c r="I8" s="66"/>
      <c r="J8" s="66"/>
      <c r="K8" s="66"/>
      <c r="L8" s="66"/>
      <c r="M8" s="66"/>
      <c r="N8" s="66"/>
    </row>
    <row r="9" spans="1:14" ht="15.6">
      <c r="A9" s="168" t="s">
        <v>541</v>
      </c>
      <c r="B9" s="66"/>
      <c r="C9" s="66"/>
      <c r="D9" s="66"/>
      <c r="E9" s="66"/>
      <c r="F9" s="66"/>
      <c r="G9" s="66"/>
      <c r="H9" s="66"/>
      <c r="I9" s="66"/>
      <c r="J9" s="66"/>
      <c r="K9" s="66"/>
      <c r="L9" s="66"/>
      <c r="M9" s="66"/>
      <c r="N9" s="66"/>
    </row>
    <row r="10" spans="1:14" ht="15.6">
      <c r="A10" s="168" t="s">
        <v>542</v>
      </c>
      <c r="B10" s="66"/>
      <c r="C10" s="66"/>
      <c r="D10" s="66"/>
      <c r="E10" s="66"/>
      <c r="F10" s="66"/>
      <c r="G10" s="66"/>
      <c r="H10" s="66"/>
      <c r="I10" s="66"/>
      <c r="J10" s="66"/>
      <c r="K10" s="66"/>
      <c r="L10" s="66"/>
      <c r="M10" s="66"/>
      <c r="N10" s="66"/>
    </row>
    <row r="11" spans="1:14" ht="15.6">
      <c r="A11" s="168" t="s">
        <v>543</v>
      </c>
      <c r="B11" s="66"/>
      <c r="C11" s="66"/>
      <c r="D11" s="66"/>
      <c r="E11" s="66"/>
      <c r="F11" s="66"/>
      <c r="G11" s="66"/>
      <c r="H11" s="66"/>
      <c r="I11" s="66"/>
      <c r="J11" s="66"/>
      <c r="K11" s="66"/>
      <c r="L11" s="66"/>
      <c r="M11" s="66"/>
      <c r="N11" s="66"/>
    </row>
    <row r="12" spans="1:14" ht="15.6">
      <c r="A12" s="166" t="s">
        <v>544</v>
      </c>
      <c r="B12" s="66"/>
      <c r="C12" s="66"/>
      <c r="D12" s="66"/>
      <c r="E12" s="66"/>
      <c r="F12" s="66"/>
      <c r="G12" s="66"/>
      <c r="H12" s="66"/>
      <c r="I12" s="66"/>
      <c r="J12" s="66"/>
      <c r="K12" s="66"/>
      <c r="L12" s="66"/>
      <c r="M12" s="66"/>
      <c r="N12" s="66"/>
    </row>
    <row r="13" spans="1:14" ht="15.6">
      <c r="A13" s="168" t="s">
        <v>545</v>
      </c>
      <c r="B13" s="66"/>
      <c r="C13" s="66"/>
      <c r="D13" s="66"/>
      <c r="E13" s="66"/>
      <c r="F13" s="66"/>
      <c r="G13" s="66"/>
      <c r="H13" s="66"/>
      <c r="I13" s="66"/>
      <c r="J13" s="66"/>
      <c r="K13" s="66"/>
      <c r="L13" s="66"/>
      <c r="M13" s="66"/>
      <c r="N13" s="66"/>
    </row>
    <row r="14" spans="1:14" ht="15.6">
      <c r="A14" s="168" t="s">
        <v>546</v>
      </c>
      <c r="B14" s="66"/>
      <c r="C14" s="66"/>
      <c r="D14" s="66"/>
      <c r="E14" s="66"/>
      <c r="F14" s="66"/>
      <c r="G14" s="66"/>
      <c r="H14" s="66"/>
      <c r="I14" s="66"/>
      <c r="J14" s="66"/>
      <c r="K14" s="66"/>
      <c r="L14" s="66"/>
      <c r="M14" s="66"/>
      <c r="N14" s="66"/>
    </row>
    <row r="15" spans="1:14" ht="16.2" thickBot="1">
      <c r="A15" s="166"/>
      <c r="B15" s="66"/>
      <c r="C15" s="66"/>
      <c r="D15" s="66"/>
      <c r="E15" s="66"/>
      <c r="F15" s="66"/>
      <c r="G15" s="66"/>
      <c r="H15" s="66"/>
      <c r="I15" s="66"/>
      <c r="J15" s="66"/>
      <c r="K15" s="66"/>
      <c r="L15" s="66"/>
      <c r="M15" s="66"/>
      <c r="N15" s="66"/>
    </row>
    <row r="16" spans="1:14" ht="47.4" thickBot="1">
      <c r="A16" s="201"/>
      <c r="B16" s="202"/>
      <c r="C16" s="132" t="s">
        <v>547</v>
      </c>
      <c r="D16" s="132" t="s">
        <v>548</v>
      </c>
      <c r="E16" s="132" t="s">
        <v>549</v>
      </c>
      <c r="F16" s="66"/>
      <c r="G16" s="66"/>
      <c r="H16" s="66"/>
      <c r="I16" s="66"/>
      <c r="J16" s="66"/>
      <c r="K16" s="66"/>
      <c r="L16" s="66"/>
      <c r="M16" s="66"/>
      <c r="N16" s="66"/>
    </row>
    <row r="17" spans="1:14" ht="39" customHeight="1" thickBot="1">
      <c r="A17" s="1164" t="s">
        <v>550</v>
      </c>
      <c r="B17" s="172" t="s">
        <v>551</v>
      </c>
      <c r="C17" s="167">
        <v>1700</v>
      </c>
      <c r="D17" s="167">
        <v>1760</v>
      </c>
      <c r="E17" s="167">
        <v>1840</v>
      </c>
      <c r="F17" s="66"/>
      <c r="G17" s="66"/>
      <c r="H17" s="66"/>
      <c r="I17" s="66"/>
      <c r="J17" s="66"/>
      <c r="K17" s="66"/>
      <c r="L17" s="66"/>
      <c r="M17" s="66"/>
      <c r="N17" s="66"/>
    </row>
    <row r="18" spans="1:14" ht="16.2" thickBot="1">
      <c r="A18" s="1165"/>
      <c r="B18" s="172" t="s">
        <v>171</v>
      </c>
      <c r="C18" s="167">
        <v>1710</v>
      </c>
      <c r="D18" s="167">
        <v>1770</v>
      </c>
      <c r="E18" s="167">
        <v>1860</v>
      </c>
      <c r="F18" s="66"/>
      <c r="G18" s="66"/>
      <c r="H18" s="66"/>
      <c r="I18" s="66"/>
      <c r="J18" s="66"/>
      <c r="K18" s="66"/>
      <c r="L18" s="66"/>
      <c r="M18" s="66"/>
      <c r="N18" s="66"/>
    </row>
    <row r="19" spans="1:14" ht="63" customHeight="1" thickBot="1">
      <c r="A19" s="1164" t="s">
        <v>552</v>
      </c>
      <c r="B19" s="172" t="s">
        <v>551</v>
      </c>
      <c r="C19" s="167">
        <v>1660</v>
      </c>
      <c r="D19" s="167">
        <v>1740</v>
      </c>
      <c r="E19" s="167">
        <v>1840</v>
      </c>
      <c r="F19" s="66"/>
      <c r="G19" s="66"/>
      <c r="H19" s="66"/>
      <c r="I19" s="66"/>
      <c r="J19" s="66"/>
      <c r="K19" s="66"/>
      <c r="L19" s="66"/>
      <c r="M19" s="66"/>
      <c r="N19" s="66"/>
    </row>
    <row r="20" spans="1:14" ht="16.2" thickBot="1">
      <c r="A20" s="1165"/>
      <c r="B20" s="172" t="s">
        <v>171</v>
      </c>
      <c r="C20" s="167">
        <v>1680</v>
      </c>
      <c r="D20" s="167">
        <v>1770</v>
      </c>
      <c r="E20" s="167">
        <v>1860</v>
      </c>
      <c r="F20" s="66"/>
      <c r="G20" s="66"/>
      <c r="H20" s="66"/>
      <c r="I20" s="66"/>
      <c r="J20" s="66"/>
      <c r="K20" s="66"/>
      <c r="L20" s="66"/>
      <c r="M20" s="66"/>
      <c r="N20" s="66"/>
    </row>
    <row r="21" spans="1:14" ht="16.2" thickBot="1">
      <c r="A21" s="70"/>
      <c r="B21" s="66"/>
      <c r="C21" s="66"/>
      <c r="D21" s="66"/>
      <c r="E21" s="66"/>
      <c r="F21" s="66"/>
      <c r="G21" s="66"/>
      <c r="H21" s="66"/>
      <c r="I21" s="66"/>
      <c r="J21" s="66"/>
      <c r="K21" s="66"/>
      <c r="L21" s="66"/>
      <c r="M21" s="66"/>
      <c r="N21" s="66"/>
    </row>
    <row r="22" spans="1:14" ht="16.2" thickBot="1">
      <c r="A22" s="203" t="s">
        <v>553</v>
      </c>
      <c r="B22" s="184">
        <v>0.3</v>
      </c>
      <c r="C22" s="66"/>
      <c r="D22" s="66"/>
      <c r="E22" s="66"/>
      <c r="F22" s="66"/>
      <c r="G22" s="66"/>
      <c r="H22" s="66"/>
      <c r="I22" s="66"/>
      <c r="J22" s="66"/>
      <c r="K22" s="66"/>
      <c r="L22" s="66"/>
      <c r="M22" s="66"/>
      <c r="N22" s="66"/>
    </row>
    <row r="23" spans="1:14" ht="16.2" thickBot="1">
      <c r="A23" s="193" t="s">
        <v>554</v>
      </c>
      <c r="B23" s="185">
        <v>100</v>
      </c>
      <c r="C23" s="66"/>
      <c r="D23" s="66"/>
      <c r="E23" s="66"/>
      <c r="F23" s="66"/>
      <c r="G23" s="66"/>
      <c r="H23" s="66"/>
      <c r="I23" s="66"/>
      <c r="J23" s="66"/>
      <c r="K23" s="66"/>
      <c r="L23" s="66"/>
      <c r="M23" s="66"/>
      <c r="N23" s="66"/>
    </row>
    <row r="24" spans="1:14" ht="16.2" thickBot="1">
      <c r="A24" s="193" t="s">
        <v>530</v>
      </c>
      <c r="B24" s="167">
        <v>1675</v>
      </c>
      <c r="C24" s="66"/>
      <c r="D24" s="66"/>
      <c r="E24" s="66"/>
      <c r="F24" s="66"/>
      <c r="G24" s="66"/>
      <c r="H24" s="66"/>
      <c r="I24" s="66"/>
      <c r="J24" s="66"/>
      <c r="K24" s="66"/>
      <c r="L24" s="66"/>
      <c r="M24" s="66"/>
      <c r="N24" s="66"/>
    </row>
    <row r="25" spans="1:14">
      <c r="A25" s="66"/>
      <c r="B25" s="66"/>
      <c r="C25" s="66"/>
      <c r="D25" s="66"/>
      <c r="E25" s="66"/>
      <c r="F25" s="66"/>
      <c r="G25" s="66"/>
      <c r="H25" s="66"/>
      <c r="I25" s="66"/>
      <c r="J25" s="66"/>
      <c r="K25" s="66"/>
      <c r="L25" s="66"/>
      <c r="M25" s="66"/>
      <c r="N25" s="66"/>
    </row>
    <row r="26" spans="1:14" ht="15.6">
      <c r="A26" s="166" t="s">
        <v>555</v>
      </c>
      <c r="B26" s="66"/>
      <c r="C26" s="66"/>
      <c r="D26" s="66"/>
      <c r="E26" s="66"/>
      <c r="F26" s="66"/>
      <c r="G26" s="66"/>
      <c r="H26" s="66"/>
      <c r="I26" s="66"/>
      <c r="J26" s="66"/>
      <c r="K26" s="66"/>
      <c r="L26" s="66"/>
      <c r="M26" s="66"/>
      <c r="N26" s="66"/>
    </row>
    <row r="27" spans="1:14" ht="15.6">
      <c r="A27" s="104" t="s">
        <v>24</v>
      </c>
    </row>
    <row r="28" spans="1:14">
      <c r="A28" s="85"/>
    </row>
  </sheetData>
  <mergeCells count="2">
    <mergeCell ref="A17:A18"/>
    <mergeCell ref="A19:A20"/>
  </mergeCells>
  <pageMargins left="0.7" right="0.7" top="0.75" bottom="0.75" header="0.3" footer="0.3"/>
  <pageSetup orientation="portrait" verticalDpi="90"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53D92-3124-461E-B415-22A4EE9DC02D}">
  <sheetPr>
    <tabColor theme="3"/>
  </sheetPr>
  <dimension ref="A1"/>
  <sheetViews>
    <sheetView workbookViewId="0">
      <selection activeCell="M7" sqref="M7"/>
    </sheetView>
  </sheetViews>
  <sheetFormatPr defaultRowHeight="13.2"/>
  <sheetData/>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40662-DB5E-4157-AE7D-B67891E28180}">
  <sheetPr codeName="Sheet15"/>
  <dimension ref="A1:N25"/>
  <sheetViews>
    <sheetView workbookViewId="0"/>
  </sheetViews>
  <sheetFormatPr defaultColWidth="8.77734375" defaultRowHeight="14.4"/>
  <cols>
    <col min="1" max="1" width="51.5546875" style="67" customWidth="1"/>
    <col min="2" max="16384" width="8.77734375" style="67"/>
  </cols>
  <sheetData>
    <row r="1" spans="1:14" ht="17.399999999999999">
      <c r="A1" s="65" t="s">
        <v>133</v>
      </c>
      <c r="B1" s="66"/>
      <c r="C1" s="66"/>
      <c r="D1" s="66"/>
      <c r="E1" s="66"/>
      <c r="F1" s="66"/>
      <c r="G1" s="66"/>
      <c r="H1" s="66"/>
      <c r="I1" s="66"/>
      <c r="J1" s="66"/>
      <c r="K1" s="66"/>
      <c r="L1" s="66"/>
      <c r="M1" s="66"/>
      <c r="N1" s="66"/>
    </row>
    <row r="2" spans="1:14" ht="15.6">
      <c r="A2" s="68" t="s">
        <v>134</v>
      </c>
      <c r="B2" s="66"/>
      <c r="C2" s="66"/>
      <c r="D2" s="66"/>
      <c r="E2" s="66"/>
      <c r="F2" s="66"/>
      <c r="G2" s="66"/>
      <c r="H2" s="66"/>
      <c r="I2" s="66"/>
      <c r="J2" s="66"/>
      <c r="K2" s="66"/>
      <c r="L2" s="66"/>
      <c r="M2" s="66"/>
      <c r="N2" s="66"/>
    </row>
    <row r="3" spans="1:14" ht="15.6">
      <c r="A3" s="68" t="s">
        <v>135</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136</v>
      </c>
      <c r="B5" s="66"/>
      <c r="C5" s="66"/>
      <c r="D5" s="66"/>
      <c r="E5" s="66"/>
      <c r="F5" s="66"/>
      <c r="G5" s="66"/>
      <c r="H5" s="66"/>
      <c r="I5" s="66"/>
      <c r="J5" s="66"/>
      <c r="K5" s="66"/>
      <c r="L5" s="66"/>
      <c r="M5" s="66"/>
      <c r="N5" s="66"/>
    </row>
    <row r="6" spans="1:14" ht="16.2" thickBot="1">
      <c r="A6" s="71"/>
      <c r="B6" s="66"/>
      <c r="C6" s="66"/>
      <c r="D6" s="66"/>
      <c r="E6" s="66"/>
      <c r="F6" s="66"/>
      <c r="G6" s="66"/>
      <c r="H6" s="66"/>
      <c r="I6" s="66"/>
      <c r="J6" s="66"/>
      <c r="K6" s="66"/>
      <c r="L6" s="66"/>
      <c r="M6" s="66"/>
      <c r="N6" s="66"/>
    </row>
    <row r="7" spans="1:14" ht="16.2" thickBot="1">
      <c r="A7" s="72"/>
      <c r="B7" s="73" t="s">
        <v>3</v>
      </c>
      <c r="C7" s="73" t="s">
        <v>79</v>
      </c>
      <c r="D7" s="73" t="s">
        <v>80</v>
      </c>
      <c r="E7" s="73" t="s">
        <v>137</v>
      </c>
      <c r="F7" s="74" t="s">
        <v>138</v>
      </c>
      <c r="G7" s="66"/>
      <c r="H7" s="66"/>
      <c r="I7" s="66"/>
      <c r="J7" s="66"/>
      <c r="K7" s="66"/>
      <c r="L7" s="66"/>
      <c r="M7" s="66"/>
      <c r="N7" s="66"/>
    </row>
    <row r="8" spans="1:14" ht="15.6">
      <c r="A8" s="75" t="s">
        <v>139</v>
      </c>
      <c r="B8" s="1168">
        <v>6</v>
      </c>
      <c r="C8" s="1168">
        <v>3</v>
      </c>
      <c r="D8" s="1168">
        <v>8</v>
      </c>
      <c r="E8" s="1168">
        <v>10</v>
      </c>
      <c r="F8" s="1166">
        <v>15</v>
      </c>
      <c r="G8" s="66"/>
      <c r="H8" s="66"/>
      <c r="I8" s="66"/>
      <c r="J8" s="66"/>
      <c r="K8" s="66"/>
      <c r="L8" s="66"/>
      <c r="M8" s="66"/>
      <c r="N8" s="66"/>
    </row>
    <row r="9" spans="1:14" ht="16.2" thickBot="1">
      <c r="A9" s="76" t="s">
        <v>140</v>
      </c>
      <c r="B9" s="1169"/>
      <c r="C9" s="1169"/>
      <c r="D9" s="1169"/>
      <c r="E9" s="1169"/>
      <c r="F9" s="1167"/>
      <c r="G9" s="66"/>
      <c r="H9" s="66"/>
      <c r="I9" s="66"/>
      <c r="J9" s="66"/>
      <c r="K9" s="66"/>
      <c r="L9" s="66"/>
      <c r="M9" s="66"/>
      <c r="N9" s="66"/>
    </row>
    <row r="10" spans="1:14" ht="16.2" thickBot="1">
      <c r="A10" s="76" t="s">
        <v>141</v>
      </c>
      <c r="B10" s="78">
        <v>15</v>
      </c>
      <c r="C10" s="78">
        <v>20</v>
      </c>
      <c r="D10" s="78">
        <v>22</v>
      </c>
      <c r="E10" s="78">
        <v>25</v>
      </c>
      <c r="F10" s="79">
        <v>33</v>
      </c>
      <c r="G10" s="66"/>
      <c r="H10" s="66"/>
      <c r="I10" s="66"/>
      <c r="J10" s="66"/>
      <c r="K10" s="66"/>
      <c r="L10" s="66"/>
      <c r="M10" s="66"/>
      <c r="N10" s="66"/>
    </row>
    <row r="11" spans="1:14" ht="16.2" thickBot="1">
      <c r="A11" s="71"/>
      <c r="B11" s="66"/>
      <c r="C11" s="66"/>
      <c r="D11" s="66"/>
      <c r="E11" s="66"/>
      <c r="F11" s="66"/>
      <c r="G11" s="66"/>
      <c r="H11" s="66"/>
      <c r="I11" s="66"/>
      <c r="J11" s="66"/>
      <c r="K11" s="66"/>
      <c r="L11" s="66"/>
      <c r="M11" s="66"/>
      <c r="N11" s="66"/>
    </row>
    <row r="12" spans="1:14" ht="16.2" thickBot="1">
      <c r="A12" s="80" t="s">
        <v>142</v>
      </c>
      <c r="B12" s="81" t="s">
        <v>143</v>
      </c>
      <c r="C12" s="66"/>
      <c r="D12" s="66"/>
      <c r="E12" s="66"/>
      <c r="F12" s="66"/>
      <c r="G12" s="66"/>
      <c r="H12" s="66"/>
      <c r="I12" s="66"/>
      <c r="J12" s="66"/>
      <c r="K12" s="66"/>
      <c r="L12" s="66"/>
      <c r="M12" s="66"/>
      <c r="N12" s="66"/>
    </row>
    <row r="13" spans="1:14" ht="16.2" thickBot="1">
      <c r="A13" s="76" t="s">
        <v>144</v>
      </c>
      <c r="B13" s="82">
        <v>0.1</v>
      </c>
      <c r="C13" s="66"/>
      <c r="D13" s="66"/>
      <c r="E13" s="66"/>
      <c r="F13" s="66"/>
      <c r="G13" s="66"/>
      <c r="H13" s="66"/>
      <c r="I13" s="66"/>
      <c r="J13" s="66"/>
      <c r="K13" s="66"/>
      <c r="L13" s="66"/>
      <c r="M13" s="66"/>
      <c r="N13" s="66"/>
    </row>
    <row r="14" spans="1:14" ht="16.2" thickBot="1">
      <c r="A14" s="76" t="s">
        <v>145</v>
      </c>
      <c r="B14" s="82">
        <v>0.05</v>
      </c>
      <c r="C14" s="66"/>
      <c r="D14" s="66"/>
      <c r="E14" s="66"/>
      <c r="F14" s="66"/>
      <c r="G14" s="66"/>
      <c r="H14" s="66"/>
      <c r="I14" s="66"/>
      <c r="J14" s="66"/>
      <c r="K14" s="66"/>
      <c r="L14" s="66"/>
      <c r="M14" s="66"/>
      <c r="N14" s="66"/>
    </row>
    <row r="15" spans="1:14" ht="16.2" thickBot="1">
      <c r="A15" s="76" t="s">
        <v>146</v>
      </c>
      <c r="B15" s="82">
        <v>0.21</v>
      </c>
      <c r="C15" s="66"/>
      <c r="D15" s="66"/>
      <c r="E15" s="66"/>
      <c r="F15" s="66"/>
      <c r="G15" s="66"/>
      <c r="H15" s="66"/>
      <c r="I15" s="66"/>
      <c r="J15" s="66"/>
      <c r="K15" s="66"/>
      <c r="L15" s="66"/>
      <c r="M15" s="66"/>
      <c r="N15" s="66"/>
    </row>
    <row r="16" spans="1:14" ht="16.2" thickBot="1">
      <c r="A16" s="76" t="s">
        <v>147</v>
      </c>
      <c r="B16" s="78"/>
      <c r="C16" s="66"/>
      <c r="D16" s="66"/>
      <c r="E16" s="66"/>
      <c r="F16" s="66"/>
      <c r="G16" s="66"/>
      <c r="H16" s="66"/>
      <c r="I16" s="66"/>
      <c r="J16" s="66"/>
      <c r="K16" s="66"/>
      <c r="L16" s="66"/>
      <c r="M16" s="66"/>
      <c r="N16" s="66"/>
    </row>
    <row r="17" spans="1:14" ht="15.6">
      <c r="A17" s="75" t="s">
        <v>148</v>
      </c>
      <c r="B17" s="1168">
        <v>155</v>
      </c>
      <c r="C17" s="66"/>
      <c r="D17" s="66"/>
      <c r="E17" s="66"/>
      <c r="F17" s="66"/>
      <c r="G17" s="66"/>
      <c r="H17" s="66"/>
      <c r="I17" s="66"/>
      <c r="J17" s="66"/>
      <c r="K17" s="66"/>
      <c r="L17" s="66"/>
      <c r="M17" s="66"/>
      <c r="N17" s="66"/>
    </row>
    <row r="18" spans="1:14" ht="16.2" thickBot="1">
      <c r="A18" s="76" t="s">
        <v>149</v>
      </c>
      <c r="B18" s="1169"/>
      <c r="C18" s="66"/>
      <c r="D18" s="66"/>
      <c r="E18" s="66"/>
      <c r="F18" s="66"/>
      <c r="G18" s="66"/>
      <c r="H18" s="66"/>
      <c r="I18" s="66"/>
      <c r="J18" s="66"/>
      <c r="K18" s="66"/>
      <c r="L18" s="66"/>
      <c r="M18" s="66"/>
      <c r="N18" s="66"/>
    </row>
    <row r="19" spans="1:14" ht="15.6">
      <c r="A19" s="75" t="s">
        <v>150</v>
      </c>
      <c r="B19" s="1168">
        <v>28</v>
      </c>
      <c r="C19" s="66"/>
      <c r="D19" s="66"/>
      <c r="E19" s="66"/>
      <c r="F19" s="66"/>
      <c r="G19" s="66"/>
      <c r="H19" s="66"/>
      <c r="I19" s="66"/>
      <c r="J19" s="66"/>
      <c r="K19" s="66"/>
      <c r="L19" s="66"/>
      <c r="M19" s="66"/>
      <c r="N19" s="66"/>
    </row>
    <row r="20" spans="1:14" ht="16.2" thickBot="1">
      <c r="A20" s="76" t="s">
        <v>151</v>
      </c>
      <c r="B20" s="1169"/>
      <c r="C20" s="66"/>
      <c r="D20" s="66"/>
      <c r="E20" s="66"/>
      <c r="F20" s="66"/>
      <c r="G20" s="66"/>
      <c r="H20" s="66"/>
      <c r="I20" s="66"/>
      <c r="J20" s="66"/>
      <c r="K20" s="66"/>
      <c r="L20" s="66"/>
      <c r="M20" s="66"/>
      <c r="N20" s="66"/>
    </row>
    <row r="21" spans="1:14" ht="15.6">
      <c r="A21" s="83"/>
      <c r="B21" s="66"/>
      <c r="C21" s="66"/>
      <c r="D21" s="66"/>
      <c r="E21" s="66"/>
      <c r="F21" s="66"/>
      <c r="G21" s="66"/>
      <c r="H21" s="66"/>
      <c r="I21" s="66"/>
      <c r="J21" s="66"/>
      <c r="K21" s="66"/>
      <c r="L21" s="66"/>
      <c r="M21" s="66"/>
      <c r="N21" s="66"/>
    </row>
    <row r="22" spans="1:14" ht="15.6">
      <c r="A22" s="70" t="s">
        <v>152</v>
      </c>
      <c r="B22" s="66"/>
      <c r="C22" s="66"/>
      <c r="D22" s="66"/>
      <c r="E22" s="66"/>
      <c r="F22" s="66"/>
      <c r="G22" s="66"/>
      <c r="H22" s="66"/>
      <c r="I22" s="66"/>
      <c r="J22" s="66"/>
      <c r="K22" s="66"/>
      <c r="L22" s="66"/>
      <c r="M22" s="66"/>
      <c r="N22" s="66"/>
    </row>
    <row r="23" spans="1:14" ht="15.6">
      <c r="A23" s="84" t="s">
        <v>24</v>
      </c>
    </row>
    <row r="24" spans="1:14">
      <c r="A24" s="85"/>
    </row>
    <row r="25" spans="1:14">
      <c r="A25" s="85"/>
    </row>
  </sheetData>
  <mergeCells count="7">
    <mergeCell ref="F8:F9"/>
    <mergeCell ref="B17:B18"/>
    <mergeCell ref="B19:B20"/>
    <mergeCell ref="B8:B9"/>
    <mergeCell ref="C8:C9"/>
    <mergeCell ref="D8:D9"/>
    <mergeCell ref="E8:E9"/>
  </mergeCells>
  <pageMargins left="0.7" right="0.7" top="0.75" bottom="0.75" header="0.3" footer="0.3"/>
  <pageSetup orientation="portrait" verticalDpi="0"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7BC11-F241-44EF-932A-79A5E5932326}">
  <sheetPr codeName="Sheet16"/>
  <dimension ref="A1:N32"/>
  <sheetViews>
    <sheetView workbookViewId="0"/>
  </sheetViews>
  <sheetFormatPr defaultColWidth="8.77734375" defaultRowHeight="14.4"/>
  <cols>
    <col min="1" max="1" width="15.21875" style="67" customWidth="1"/>
    <col min="2" max="3" width="8.77734375" style="67"/>
    <col min="4" max="4" width="11.5546875" style="67" customWidth="1"/>
    <col min="5" max="5" width="8.77734375" style="67"/>
    <col min="6" max="6" width="10.5546875" style="67" customWidth="1"/>
    <col min="7" max="7" width="8.77734375" style="67"/>
    <col min="8" max="8" width="9.77734375" style="67" customWidth="1"/>
    <col min="9" max="9" width="12.44140625" style="67" customWidth="1"/>
    <col min="10" max="10" width="8.77734375" style="67"/>
    <col min="11" max="11" width="11.21875" style="67" customWidth="1"/>
    <col min="12" max="12" width="8.77734375" style="67"/>
    <col min="13" max="13" width="9.5546875" style="67" customWidth="1"/>
    <col min="14" max="14" width="14.21875" style="67" customWidth="1"/>
    <col min="15" max="16384" width="8.77734375" style="67"/>
  </cols>
  <sheetData>
    <row r="1" spans="1:14" ht="17.399999999999999">
      <c r="A1" s="65" t="s">
        <v>153</v>
      </c>
      <c r="B1" s="66"/>
      <c r="C1" s="66"/>
      <c r="D1" s="66"/>
      <c r="E1" s="66"/>
      <c r="F1" s="66"/>
      <c r="G1" s="66"/>
      <c r="H1" s="66"/>
      <c r="I1" s="66"/>
      <c r="J1" s="66"/>
      <c r="K1" s="66"/>
      <c r="L1" s="66"/>
      <c r="M1" s="66"/>
      <c r="N1" s="66"/>
    </row>
    <row r="2" spans="1:14" ht="15.6">
      <c r="A2" s="68" t="s">
        <v>154</v>
      </c>
      <c r="B2" s="66"/>
      <c r="C2" s="66"/>
      <c r="D2" s="66"/>
      <c r="E2" s="66"/>
      <c r="F2" s="66"/>
      <c r="G2" s="66"/>
      <c r="H2" s="66"/>
      <c r="I2" s="66"/>
      <c r="J2" s="66"/>
      <c r="K2" s="66"/>
      <c r="L2" s="66"/>
      <c r="M2" s="66"/>
      <c r="N2" s="66"/>
    </row>
    <row r="3" spans="1:14" ht="15.6">
      <c r="A3" s="68" t="s">
        <v>155</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156</v>
      </c>
      <c r="B5" s="66"/>
      <c r="C5" s="66"/>
      <c r="D5" s="66"/>
      <c r="E5" s="66"/>
      <c r="F5" s="66"/>
      <c r="G5" s="66"/>
      <c r="H5" s="66"/>
      <c r="I5" s="66"/>
      <c r="J5" s="66"/>
      <c r="K5" s="66"/>
      <c r="L5" s="66"/>
      <c r="M5" s="66"/>
      <c r="N5" s="66"/>
    </row>
    <row r="6" spans="1:14" ht="15.6">
      <c r="A6" s="71"/>
      <c r="B6" s="66"/>
      <c r="C6" s="66"/>
      <c r="D6" s="66"/>
      <c r="E6" s="66"/>
      <c r="F6" s="66"/>
      <c r="G6" s="66"/>
      <c r="H6" s="66"/>
      <c r="I6" s="66"/>
      <c r="J6" s="66"/>
      <c r="K6" s="66"/>
      <c r="L6" s="66"/>
      <c r="M6" s="66"/>
      <c r="N6" s="66"/>
    </row>
    <row r="7" spans="1:14" ht="15.6">
      <c r="A7" s="86"/>
      <c r="B7" s="87"/>
      <c r="C7" s="87"/>
      <c r="D7" s="87"/>
      <c r="E7" s="1170" t="s">
        <v>157</v>
      </c>
      <c r="F7" s="1171"/>
      <c r="G7" s="1171"/>
      <c r="H7" s="1172"/>
      <c r="I7" s="1173" t="s">
        <v>158</v>
      </c>
      <c r="J7" s="1170" t="s">
        <v>159</v>
      </c>
      <c r="K7" s="1171"/>
      <c r="L7" s="1171"/>
      <c r="M7" s="1172"/>
      <c r="N7" s="1173" t="s">
        <v>160</v>
      </c>
    </row>
    <row r="8" spans="1:14" ht="62.4">
      <c r="A8" s="88" t="s">
        <v>161</v>
      </c>
      <c r="B8" s="88" t="s">
        <v>162</v>
      </c>
      <c r="C8" s="89" t="s">
        <v>163</v>
      </c>
      <c r="D8" s="89" t="s">
        <v>164</v>
      </c>
      <c r="E8" s="90" t="s">
        <v>165</v>
      </c>
      <c r="F8" s="91" t="s">
        <v>166</v>
      </c>
      <c r="G8" s="91" t="s">
        <v>167</v>
      </c>
      <c r="H8" s="92" t="s">
        <v>168</v>
      </c>
      <c r="I8" s="1174"/>
      <c r="J8" s="90" t="s">
        <v>165</v>
      </c>
      <c r="K8" s="91" t="s">
        <v>166</v>
      </c>
      <c r="L8" s="91" t="s">
        <v>167</v>
      </c>
      <c r="M8" s="92" t="s">
        <v>168</v>
      </c>
      <c r="N8" s="1174"/>
    </row>
    <row r="9" spans="1:14" ht="15.6">
      <c r="A9" s="93">
        <v>1</v>
      </c>
      <c r="B9" s="93">
        <v>310</v>
      </c>
      <c r="C9" s="87">
        <v>70</v>
      </c>
      <c r="D9" s="87">
        <v>45</v>
      </c>
      <c r="E9" s="94">
        <v>800</v>
      </c>
      <c r="F9" s="95">
        <v>200</v>
      </c>
      <c r="G9" s="95">
        <v>-56.699999999999996</v>
      </c>
      <c r="H9" s="96">
        <v>150</v>
      </c>
      <c r="I9" s="97">
        <v>480</v>
      </c>
      <c r="J9" s="94">
        <v>760</v>
      </c>
      <c r="K9" s="95">
        <v>202</v>
      </c>
      <c r="L9" s="95">
        <v>-51.344999999999999</v>
      </c>
      <c r="M9" s="96">
        <v>142.5</v>
      </c>
      <c r="N9" s="97">
        <v>456</v>
      </c>
    </row>
    <row r="10" spans="1:14" ht="15.6">
      <c r="A10" s="93">
        <v>2</v>
      </c>
      <c r="B10" s="93">
        <v>310</v>
      </c>
      <c r="C10" s="87">
        <v>70</v>
      </c>
      <c r="D10" s="87">
        <v>45</v>
      </c>
      <c r="E10" s="94">
        <v>828.20791632710495</v>
      </c>
      <c r="F10" s="95">
        <v>200.4824235067338</v>
      </c>
      <c r="G10" s="95">
        <v>-59.234193914068818</v>
      </c>
      <c r="H10" s="96">
        <v>151.26684704288621</v>
      </c>
      <c r="I10" s="97">
        <v>496.92474979626297</v>
      </c>
      <c r="J10" s="94">
        <v>786.79752051074968</v>
      </c>
      <c r="K10" s="95">
        <v>202.48724774180113</v>
      </c>
      <c r="L10" s="95">
        <v>-53.746405682180537</v>
      </c>
      <c r="M10" s="96">
        <v>143.70350469074191</v>
      </c>
      <c r="N10" s="97">
        <v>472.0785123064498</v>
      </c>
    </row>
    <row r="11" spans="1:14" ht="15.6">
      <c r="A11" s="93">
        <v>3</v>
      </c>
      <c r="B11" s="93">
        <v>310</v>
      </c>
      <c r="C11" s="87">
        <v>70</v>
      </c>
      <c r="D11" s="87">
        <v>45</v>
      </c>
      <c r="E11" s="94">
        <v>882.13769177947029</v>
      </c>
      <c r="F11" s="95">
        <v>203.8257029855468</v>
      </c>
      <c r="G11" s="95">
        <v>-63.111063175309184</v>
      </c>
      <c r="H11" s="96">
        <v>151.49949853713571</v>
      </c>
      <c r="I11" s="97">
        <v>529.28261506768217</v>
      </c>
      <c r="J11" s="94">
        <v>838.03080719049672</v>
      </c>
      <c r="K11" s="95">
        <v>205.86396001540226</v>
      </c>
      <c r="L11" s="95">
        <v>-57.387306158925824</v>
      </c>
      <c r="M11" s="96">
        <v>143.92452361027892</v>
      </c>
      <c r="N11" s="97">
        <v>502.81848431429802</v>
      </c>
    </row>
    <row r="12" spans="1:14" ht="15.6">
      <c r="A12" s="93">
        <v>4</v>
      </c>
      <c r="B12" s="93">
        <v>310</v>
      </c>
      <c r="C12" s="87">
        <v>70</v>
      </c>
      <c r="D12" s="87">
        <v>45</v>
      </c>
      <c r="E12" s="94">
        <v>823.64485100767808</v>
      </c>
      <c r="F12" s="95">
        <v>202.31482921067072</v>
      </c>
      <c r="G12" s="95">
        <v>-58.552890637331473</v>
      </c>
      <c r="H12" s="96">
        <v>151.68017755679699</v>
      </c>
      <c r="I12" s="97">
        <v>494.18691060460685</v>
      </c>
      <c r="J12" s="94">
        <v>782.4626084572941</v>
      </c>
      <c r="K12" s="95">
        <v>204.33797750277742</v>
      </c>
      <c r="L12" s="95">
        <v>-53.076079257410434</v>
      </c>
      <c r="M12" s="96">
        <v>144.09616867895713</v>
      </c>
      <c r="N12" s="97">
        <v>469.47756507437651</v>
      </c>
    </row>
    <row r="13" spans="1:14" ht="15.6">
      <c r="A13" s="93">
        <v>5</v>
      </c>
      <c r="B13" s="93">
        <v>310</v>
      </c>
      <c r="C13" s="87">
        <v>70</v>
      </c>
      <c r="D13" s="87">
        <v>45</v>
      </c>
      <c r="E13" s="94">
        <v>842.76864033785171</v>
      </c>
      <c r="F13" s="95">
        <v>202.63324848695308</v>
      </c>
      <c r="G13" s="95">
        <v>-60.319354479806414</v>
      </c>
      <c r="H13" s="96">
        <v>152.7608136842239</v>
      </c>
      <c r="I13" s="97">
        <v>505.66118420271101</v>
      </c>
      <c r="J13" s="94">
        <v>800.63020832095913</v>
      </c>
      <c r="K13" s="95">
        <v>204.65958097182261</v>
      </c>
      <c r="L13" s="95">
        <v>-54.750207824880469</v>
      </c>
      <c r="M13" s="96">
        <v>145.1227730000127</v>
      </c>
      <c r="N13" s="97">
        <v>480.37812499257547</v>
      </c>
    </row>
    <row r="14" spans="1:14" ht="15.6">
      <c r="A14" s="93">
        <v>6</v>
      </c>
      <c r="B14" s="93">
        <v>310</v>
      </c>
      <c r="C14" s="87">
        <v>70</v>
      </c>
      <c r="D14" s="87">
        <v>45</v>
      </c>
      <c r="E14" s="94">
        <v>801.83282169763231</v>
      </c>
      <c r="F14" s="95">
        <v>200.07009334174424</v>
      </c>
      <c r="G14" s="95">
        <v>-57.242652650422201</v>
      </c>
      <c r="H14" s="96">
        <v>151.92102490279706</v>
      </c>
      <c r="I14" s="97">
        <v>481.09969301857939</v>
      </c>
      <c r="J14" s="94">
        <v>761.74118061275067</v>
      </c>
      <c r="K14" s="95">
        <v>202.07079427516169</v>
      </c>
      <c r="L14" s="95">
        <v>-51.859636841795115</v>
      </c>
      <c r="M14" s="96">
        <v>144.32497365765721</v>
      </c>
      <c r="N14" s="97">
        <v>457.0447083676504</v>
      </c>
    </row>
    <row r="15" spans="1:14" ht="15.6">
      <c r="A15" s="93">
        <v>7</v>
      </c>
      <c r="B15" s="93">
        <v>310</v>
      </c>
      <c r="C15" s="87">
        <v>70</v>
      </c>
      <c r="D15" s="87">
        <v>45</v>
      </c>
      <c r="E15" s="94">
        <v>854.2758837793973</v>
      </c>
      <c r="F15" s="95">
        <v>201.68025319734681</v>
      </c>
      <c r="G15" s="95">
        <v>-60.927028362626508</v>
      </c>
      <c r="H15" s="96">
        <v>150.09860617428552</v>
      </c>
      <c r="I15" s="97">
        <v>512.56553026763834</v>
      </c>
      <c r="J15" s="94">
        <v>811.56208959042738</v>
      </c>
      <c r="K15" s="95">
        <v>203.69705572932028</v>
      </c>
      <c r="L15" s="95">
        <v>-55.339505754208609</v>
      </c>
      <c r="M15" s="96">
        <v>142.59367586557124</v>
      </c>
      <c r="N15" s="97">
        <v>486.9372537542564</v>
      </c>
    </row>
    <row r="16" spans="1:14" ht="15.6">
      <c r="A16" s="93">
        <v>8</v>
      </c>
      <c r="B16" s="93">
        <v>310</v>
      </c>
      <c r="C16" s="87">
        <v>70</v>
      </c>
      <c r="D16" s="87">
        <v>45</v>
      </c>
      <c r="E16" s="94">
        <v>868.63830264800947</v>
      </c>
      <c r="F16" s="95">
        <v>200.48258240457906</v>
      </c>
      <c r="G16" s="95">
        <v>-62.618850952433242</v>
      </c>
      <c r="H16" s="96">
        <v>151.21226588077161</v>
      </c>
      <c r="I16" s="97">
        <v>521.18298158880566</v>
      </c>
      <c r="J16" s="94">
        <v>825.20638751560898</v>
      </c>
      <c r="K16" s="95">
        <v>202.48740822862484</v>
      </c>
      <c r="L16" s="95">
        <v>-56.961827866513872</v>
      </c>
      <c r="M16" s="96">
        <v>143.65165258673304</v>
      </c>
      <c r="N16" s="97">
        <v>495.12383250936534</v>
      </c>
    </row>
    <row r="17" spans="1:14" ht="15.6">
      <c r="A17" s="93">
        <v>9</v>
      </c>
      <c r="B17" s="93">
        <v>310</v>
      </c>
      <c r="C17" s="87">
        <v>70</v>
      </c>
      <c r="D17" s="87">
        <v>45</v>
      </c>
      <c r="E17" s="94">
        <v>836.10211627951833</v>
      </c>
      <c r="F17" s="95">
        <v>203.67139202416911</v>
      </c>
      <c r="G17" s="95">
        <v>-59.442726999040183</v>
      </c>
      <c r="H17" s="96">
        <v>152.29115026969598</v>
      </c>
      <c r="I17" s="97">
        <v>501.66126976771096</v>
      </c>
      <c r="J17" s="94">
        <v>794.29701046554237</v>
      </c>
      <c r="K17" s="95">
        <v>205.70810594441079</v>
      </c>
      <c r="L17" s="95">
        <v>-53.904331109583637</v>
      </c>
      <c r="M17" s="96">
        <v>144.67659275621116</v>
      </c>
      <c r="N17" s="97">
        <v>476.5782062793254</v>
      </c>
    </row>
    <row r="18" spans="1:14" ht="15.6">
      <c r="A18" s="93">
        <v>10</v>
      </c>
      <c r="B18" s="93">
        <v>310</v>
      </c>
      <c r="C18" s="87">
        <v>70</v>
      </c>
      <c r="D18" s="87">
        <v>45</v>
      </c>
      <c r="E18" s="94">
        <v>853.90987000240534</v>
      </c>
      <c r="F18" s="95">
        <v>200.09899656730371</v>
      </c>
      <c r="G18" s="95">
        <v>-61.347786426436301</v>
      </c>
      <c r="H18" s="96">
        <v>150.66736488270496</v>
      </c>
      <c r="I18" s="97">
        <v>512.34592200144323</v>
      </c>
      <c r="J18" s="94">
        <v>811.21437650228506</v>
      </c>
      <c r="K18" s="95">
        <v>202.09998653297674</v>
      </c>
      <c r="L18" s="95">
        <v>-55.75914974836644</v>
      </c>
      <c r="M18" s="96">
        <v>143.1339966385697</v>
      </c>
      <c r="N18" s="97">
        <v>486.72862590137106</v>
      </c>
    </row>
    <row r="19" spans="1:14" ht="15.6">
      <c r="A19" s="93">
        <v>11</v>
      </c>
      <c r="B19" s="93">
        <v>310</v>
      </c>
      <c r="C19" s="87">
        <v>70</v>
      </c>
      <c r="D19" s="87">
        <v>45</v>
      </c>
      <c r="E19" s="94">
        <v>839.58023840050589</v>
      </c>
      <c r="F19" s="95">
        <v>200.30946296269497</v>
      </c>
      <c r="G19" s="95">
        <v>-60.449584804934254</v>
      </c>
      <c r="H19" s="96">
        <v>152.33253334027472</v>
      </c>
      <c r="I19" s="97">
        <v>503.74814304030349</v>
      </c>
      <c r="J19" s="94">
        <v>797.60122648048059</v>
      </c>
      <c r="K19" s="95">
        <v>202.31255759232192</v>
      </c>
      <c r="L19" s="95">
        <v>-54.903206331357566</v>
      </c>
      <c r="M19" s="96">
        <v>144.71590667326097</v>
      </c>
      <c r="N19" s="97">
        <v>478.56073588828832</v>
      </c>
    </row>
    <row r="20" spans="1:14" ht="15.6">
      <c r="A20" s="93">
        <v>12</v>
      </c>
      <c r="B20" s="93">
        <v>310</v>
      </c>
      <c r="C20" s="87">
        <v>70</v>
      </c>
      <c r="D20" s="87">
        <v>45</v>
      </c>
      <c r="E20" s="94">
        <v>846.7024640365812</v>
      </c>
      <c r="F20" s="95">
        <v>202.0376814382283</v>
      </c>
      <c r="G20" s="95">
        <v>-60.654623158615316</v>
      </c>
      <c r="H20" s="96">
        <v>152.18823467414495</v>
      </c>
      <c r="I20" s="97">
        <v>508.0214784219487</v>
      </c>
      <c r="J20" s="94">
        <v>804.3673408347521</v>
      </c>
      <c r="K20" s="95">
        <v>204.05805825261058</v>
      </c>
      <c r="L20" s="95">
        <v>-55.076217214562867</v>
      </c>
      <c r="M20" s="96">
        <v>144.5788229404377</v>
      </c>
      <c r="N20" s="97">
        <v>482.62040450085124</v>
      </c>
    </row>
    <row r="21" spans="1:14" ht="15.6">
      <c r="A21" s="93">
        <v>13</v>
      </c>
      <c r="B21" s="93">
        <v>310</v>
      </c>
      <c r="C21" s="87">
        <v>70</v>
      </c>
      <c r="D21" s="87">
        <v>45</v>
      </c>
      <c r="E21" s="94">
        <v>869.99551068981373</v>
      </c>
      <c r="F21" s="95">
        <v>200.52332725602537</v>
      </c>
      <c r="G21" s="95">
        <v>-62.624799899731748</v>
      </c>
      <c r="H21" s="96">
        <v>150.73845583596528</v>
      </c>
      <c r="I21" s="97">
        <v>521.99730641388817</v>
      </c>
      <c r="J21" s="94">
        <v>826.49573515532302</v>
      </c>
      <c r="K21" s="95">
        <v>202.52856052858561</v>
      </c>
      <c r="L21" s="95">
        <v>-56.966965981319262</v>
      </c>
      <c r="M21" s="96">
        <v>143.20153304416701</v>
      </c>
      <c r="N21" s="97">
        <v>495.89744109319372</v>
      </c>
    </row>
    <row r="22" spans="1:14" ht="15.6">
      <c r="A22" s="93">
        <v>14</v>
      </c>
      <c r="B22" s="93">
        <v>310</v>
      </c>
      <c r="C22" s="87">
        <v>70</v>
      </c>
      <c r="D22" s="87">
        <v>45</v>
      </c>
      <c r="E22" s="94">
        <v>853.55112506043804</v>
      </c>
      <c r="F22" s="95">
        <v>202.93252543247738</v>
      </c>
      <c r="G22" s="95">
        <v>-60.967920878530862</v>
      </c>
      <c r="H22" s="96">
        <v>151.83550816321105</v>
      </c>
      <c r="I22" s="97">
        <v>512.1306750362628</v>
      </c>
      <c r="J22" s="94">
        <v>810.87356880741606</v>
      </c>
      <c r="K22" s="95">
        <v>204.96185068680217</v>
      </c>
      <c r="L22" s="95">
        <v>-55.362575014155091</v>
      </c>
      <c r="M22" s="96">
        <v>144.24373275505047</v>
      </c>
      <c r="N22" s="97">
        <v>486.52414128444963</v>
      </c>
    </row>
    <row r="23" spans="1:14" ht="15.6">
      <c r="A23" s="93">
        <v>15</v>
      </c>
      <c r="B23" s="93">
        <v>310</v>
      </c>
      <c r="C23" s="87">
        <v>70</v>
      </c>
      <c r="D23" s="87">
        <v>45</v>
      </c>
      <c r="E23" s="94">
        <v>801.53643431325747</v>
      </c>
      <c r="F23" s="95">
        <v>202.2600898151295</v>
      </c>
      <c r="G23" s="95">
        <v>-56.944470284960772</v>
      </c>
      <c r="H23" s="96">
        <v>152.80966030392545</v>
      </c>
      <c r="I23" s="97">
        <v>480.92186058795448</v>
      </c>
      <c r="J23" s="94">
        <v>761.45961259759451</v>
      </c>
      <c r="K23" s="95">
        <v>204.2826907132808</v>
      </c>
      <c r="L23" s="95">
        <v>-51.548769639042099</v>
      </c>
      <c r="M23" s="96">
        <v>145.16917728872917</v>
      </c>
      <c r="N23" s="97">
        <v>456.87576755855673</v>
      </c>
    </row>
    <row r="24" spans="1:14" ht="15.6">
      <c r="A24" s="93">
        <v>16</v>
      </c>
      <c r="B24" s="93">
        <v>310</v>
      </c>
      <c r="C24" s="87">
        <v>70</v>
      </c>
      <c r="D24" s="87">
        <v>45</v>
      </c>
      <c r="E24" s="94">
        <v>861.37972054601278</v>
      </c>
      <c r="F24" s="95">
        <v>200.07165531049583</v>
      </c>
      <c r="G24" s="95">
        <v>-62.250878300571408</v>
      </c>
      <c r="H24" s="96">
        <v>151.95252090433547</v>
      </c>
      <c r="I24" s="97">
        <v>516.82783232760767</v>
      </c>
      <c r="J24" s="94">
        <v>818.31073451871214</v>
      </c>
      <c r="K24" s="95">
        <v>202.07237186360078</v>
      </c>
      <c r="L24" s="95">
        <v>-56.617431528630583</v>
      </c>
      <c r="M24" s="96">
        <v>144.3548948591187</v>
      </c>
      <c r="N24" s="97">
        <v>490.98644071122726</v>
      </c>
    </row>
    <row r="25" spans="1:14" ht="15.6">
      <c r="A25" s="93" t="s">
        <v>169</v>
      </c>
      <c r="B25" s="93">
        <v>310</v>
      </c>
      <c r="C25" s="87">
        <v>70</v>
      </c>
      <c r="D25" s="87">
        <v>45</v>
      </c>
      <c r="E25" s="94">
        <v>836.10211627951833</v>
      </c>
      <c r="F25" s="95">
        <v>203.67139202416911</v>
      </c>
      <c r="G25" s="95">
        <v>-59.442726999040183</v>
      </c>
      <c r="H25" s="96">
        <v>152.29115026969598</v>
      </c>
      <c r="I25" s="97">
        <v>501.66126976771096</v>
      </c>
      <c r="J25" s="94">
        <v>794.29701046554237</v>
      </c>
      <c r="K25" s="95">
        <v>205.70810594441079</v>
      </c>
      <c r="L25" s="95">
        <v>-53.904331109583637</v>
      </c>
      <c r="M25" s="96">
        <v>144.67659275621116</v>
      </c>
      <c r="N25" s="97">
        <v>476.5782062793254</v>
      </c>
    </row>
    <row r="26" spans="1:14" ht="15.6">
      <c r="A26" s="98" t="s">
        <v>170</v>
      </c>
      <c r="B26" s="98">
        <v>310</v>
      </c>
      <c r="C26" s="99">
        <v>70</v>
      </c>
      <c r="D26" s="99">
        <v>45</v>
      </c>
      <c r="E26" s="100">
        <v>846.7024640365812</v>
      </c>
      <c r="F26" s="101">
        <v>202.0376814382283</v>
      </c>
      <c r="G26" s="101">
        <v>-60.654623158615316</v>
      </c>
      <c r="H26" s="102">
        <v>152.18823467414495</v>
      </c>
      <c r="I26" s="103">
        <v>508.0214784219487</v>
      </c>
      <c r="J26" s="100">
        <v>804.3673408347521</v>
      </c>
      <c r="K26" s="101">
        <v>204.05805825261058</v>
      </c>
      <c r="L26" s="101">
        <v>-55.076217214562867</v>
      </c>
      <c r="M26" s="102">
        <v>144.5788229404377</v>
      </c>
      <c r="N26" s="103">
        <v>482.62040450085124</v>
      </c>
    </row>
    <row r="27" spans="1:14" ht="15.6">
      <c r="A27" s="93" t="s">
        <v>171</v>
      </c>
      <c r="B27" s="93"/>
      <c r="C27" s="87"/>
      <c r="D27" s="87"/>
      <c r="E27" s="94">
        <v>861.37972054601278</v>
      </c>
      <c r="F27" s="95">
        <v>202.63324848695308</v>
      </c>
      <c r="G27" s="95">
        <v>-61.784055900241079</v>
      </c>
      <c r="H27" s="96">
        <v>152.29115026969598</v>
      </c>
      <c r="I27" s="97">
        <v>516.82783232760767</v>
      </c>
      <c r="J27" s="94">
        <v>818.31073451871214</v>
      </c>
      <c r="K27" s="95">
        <v>204.65958097182261</v>
      </c>
      <c r="L27" s="95">
        <v>-56.141674174293421</v>
      </c>
      <c r="M27" s="96">
        <v>144.67659275621116</v>
      </c>
      <c r="N27" s="97">
        <v>490.98644071122726</v>
      </c>
    </row>
    <row r="28" spans="1:14" ht="15.6">
      <c r="A28" s="93" t="s">
        <v>172</v>
      </c>
      <c r="B28" s="93"/>
      <c r="C28" s="87"/>
      <c r="D28" s="87"/>
      <c r="E28" s="94">
        <v>873.03105596222781</v>
      </c>
      <c r="F28" s="95">
        <v>203.70996976451352</v>
      </c>
      <c r="G28" s="95">
        <v>-62.637850371500654</v>
      </c>
      <c r="H28" s="96">
        <v>152.77302533914929</v>
      </c>
      <c r="I28" s="97">
        <v>523.81863357733664</v>
      </c>
      <c r="J28" s="94">
        <v>829.37950316411639</v>
      </c>
      <c r="K28" s="95">
        <v>205.74706946215866</v>
      </c>
      <c r="L28" s="95">
        <v>-56.939212233892725</v>
      </c>
      <c r="M28" s="96">
        <v>145.1343740721918</v>
      </c>
      <c r="N28" s="97">
        <v>497.62770189846981</v>
      </c>
    </row>
    <row r="29" spans="1:14" ht="15.6">
      <c r="A29" s="98" t="s">
        <v>173</v>
      </c>
      <c r="B29" s="98"/>
      <c r="C29" s="99"/>
      <c r="D29" s="99"/>
      <c r="E29" s="100">
        <v>880.31636461602181</v>
      </c>
      <c r="F29" s="101">
        <v>203.80255634134014</v>
      </c>
      <c r="G29" s="101">
        <v>-63.236527791368133</v>
      </c>
      <c r="H29" s="102">
        <v>152.80233331097023</v>
      </c>
      <c r="I29" s="103">
        <v>528.18981876961311</v>
      </c>
      <c r="J29" s="100">
        <v>836.30054638522074</v>
      </c>
      <c r="K29" s="101">
        <v>205.84058190475355</v>
      </c>
      <c r="L29" s="101">
        <v>-57.506789191898854</v>
      </c>
      <c r="M29" s="102">
        <v>145.16221664542172</v>
      </c>
      <c r="N29" s="103">
        <v>501.78032783113241</v>
      </c>
    </row>
    <row r="30" spans="1:14">
      <c r="A30" s="66"/>
      <c r="B30" s="66"/>
      <c r="C30" s="66"/>
      <c r="D30" s="66"/>
      <c r="E30" s="66"/>
      <c r="F30" s="66"/>
      <c r="G30" s="66"/>
      <c r="H30" s="66"/>
      <c r="I30" s="66"/>
      <c r="J30" s="66"/>
      <c r="K30" s="66"/>
      <c r="L30" s="66"/>
      <c r="M30" s="66"/>
      <c r="N30" s="66"/>
    </row>
    <row r="31" spans="1:14" ht="15.6">
      <c r="A31" s="70" t="s">
        <v>174</v>
      </c>
      <c r="B31" s="66"/>
      <c r="C31" s="66"/>
      <c r="D31" s="66"/>
      <c r="E31" s="66"/>
      <c r="F31" s="66"/>
      <c r="G31" s="66"/>
      <c r="H31" s="66"/>
      <c r="I31" s="66"/>
      <c r="J31" s="66"/>
      <c r="K31" s="66"/>
      <c r="L31" s="66"/>
      <c r="M31" s="66"/>
      <c r="N31" s="66"/>
    </row>
    <row r="32" spans="1:14" ht="15.6">
      <c r="A32" s="104" t="s">
        <v>24</v>
      </c>
    </row>
  </sheetData>
  <mergeCells count="4">
    <mergeCell ref="E7:H7"/>
    <mergeCell ref="I7:I8"/>
    <mergeCell ref="J7:M7"/>
    <mergeCell ref="N7:N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CD51C-25CE-4E21-9B0C-C241E1CCDD45}">
  <sheetPr>
    <tabColor rgb="FFFF0000"/>
  </sheetPr>
  <dimension ref="A1:G68"/>
  <sheetViews>
    <sheetView topLeftCell="A12" zoomScaleNormal="150" zoomScaleSheetLayoutView="100" workbookViewId="0">
      <selection activeCell="A12" sqref="A1:XFD1048576"/>
    </sheetView>
  </sheetViews>
  <sheetFormatPr defaultColWidth="9.21875" defaultRowHeight="14.4"/>
  <cols>
    <col min="1" max="1" width="23.44140625" style="727" bestFit="1" customWidth="1"/>
    <col min="2" max="2" width="16" style="727" customWidth="1"/>
    <col min="3" max="3" width="44.77734375" style="727" bestFit="1" customWidth="1"/>
    <col min="4" max="16384" width="9.21875" style="727"/>
  </cols>
  <sheetData>
    <row r="1" spans="1:2" ht="15" thickBot="1">
      <c r="A1" s="727" t="s">
        <v>660</v>
      </c>
    </row>
    <row r="2" spans="1:2" ht="16.2" thickBot="1">
      <c r="A2" s="1055" t="s">
        <v>1721</v>
      </c>
      <c r="B2" s="1056"/>
    </row>
    <row r="3" spans="1:2" ht="16.2" thickBot="1">
      <c r="A3" s="753" t="s">
        <v>1722</v>
      </c>
      <c r="B3" s="1028">
        <v>1000</v>
      </c>
    </row>
    <row r="4" spans="1:2" ht="16.2" thickBot="1">
      <c r="A4" s="753" t="s">
        <v>1723</v>
      </c>
      <c r="B4" s="1029">
        <v>350</v>
      </c>
    </row>
    <row r="5" spans="1:2" ht="16.2" thickBot="1">
      <c r="A5" s="753" t="s">
        <v>1724</v>
      </c>
      <c r="B5" s="1028">
        <v>1000</v>
      </c>
    </row>
    <row r="6" spans="1:2" ht="16.2" thickBot="1">
      <c r="A6" s="753" t="s">
        <v>1725</v>
      </c>
      <c r="B6" s="1029">
        <v>500</v>
      </c>
    </row>
    <row r="7" spans="1:2" ht="16.2" thickBot="1">
      <c r="A7" s="728"/>
      <c r="B7" s="729"/>
    </row>
    <row r="8" spans="1:2" ht="16.2" thickBot="1">
      <c r="A8" s="1055" t="s">
        <v>1559</v>
      </c>
      <c r="B8" s="1056"/>
    </row>
    <row r="9" spans="1:2" ht="16.2" thickBot="1">
      <c r="A9" s="753" t="s">
        <v>1726</v>
      </c>
      <c r="B9" s="1028">
        <v>4900</v>
      </c>
    </row>
    <row r="10" spans="1:2" ht="16.2" thickBot="1">
      <c r="A10" s="753" t="s">
        <v>1727</v>
      </c>
      <c r="B10" s="1028">
        <v>1350</v>
      </c>
    </row>
    <row r="11" spans="1:2" ht="16.2" thickBot="1">
      <c r="A11" s="753" t="s">
        <v>1728</v>
      </c>
      <c r="B11" s="1028">
        <v>1200</v>
      </c>
    </row>
    <row r="12" spans="1:2" ht="16.2" thickBot="1">
      <c r="A12" s="753" t="s">
        <v>1139</v>
      </c>
      <c r="B12" s="1028">
        <v>5000</v>
      </c>
    </row>
    <row r="13" spans="1:2" ht="16.2" thickBot="1">
      <c r="A13" s="753" t="s">
        <v>1729</v>
      </c>
      <c r="B13" s="1028">
        <v>1800</v>
      </c>
    </row>
    <row r="14" spans="1:2" ht="16.2" thickBot="1">
      <c r="A14" s="753" t="s">
        <v>1730</v>
      </c>
      <c r="B14" s="1028">
        <v>1200</v>
      </c>
    </row>
    <row r="15" spans="1:2" ht="16.2" thickBot="1">
      <c r="A15" s="753" t="s">
        <v>1731</v>
      </c>
      <c r="B15" s="1028">
        <v>2500</v>
      </c>
    </row>
    <row r="16" spans="1:2" ht="16.2" thickBot="1">
      <c r="A16" s="753" t="s">
        <v>1732</v>
      </c>
      <c r="B16" s="1028">
        <v>1800</v>
      </c>
    </row>
    <row r="17" spans="1:7" ht="16.2" thickBot="1">
      <c r="A17" s="753" t="s">
        <v>1733</v>
      </c>
      <c r="B17" s="1028">
        <v>1000</v>
      </c>
    </row>
    <row r="19" spans="1:7">
      <c r="A19" s="727" t="s">
        <v>1830</v>
      </c>
    </row>
    <row r="20" spans="1:7">
      <c r="C20" s="727" t="s">
        <v>1829</v>
      </c>
      <c r="E20" s="727" t="s">
        <v>1721</v>
      </c>
      <c r="G20" s="727" t="s">
        <v>1186</v>
      </c>
    </row>
    <row r="21" spans="1:7">
      <c r="B21" s="727" t="s">
        <v>1722</v>
      </c>
      <c r="C21" s="1030" t="s">
        <v>1828</v>
      </c>
    </row>
    <row r="22" spans="1:7">
      <c r="C22" s="1031">
        <f>B9+B11-B12</f>
        <v>1100</v>
      </c>
      <c r="E22" s="1031">
        <f>B3</f>
        <v>1000</v>
      </c>
      <c r="G22" s="1031">
        <f>C22-E22</f>
        <v>100</v>
      </c>
    </row>
    <row r="24" spans="1:7">
      <c r="B24" s="727" t="s">
        <v>1723</v>
      </c>
      <c r="C24" s="1030" t="s">
        <v>1827</v>
      </c>
    </row>
    <row r="25" spans="1:7">
      <c r="C25" s="1031">
        <f>B10-B17</f>
        <v>350</v>
      </c>
      <c r="E25" s="727">
        <f>B4</f>
        <v>350</v>
      </c>
      <c r="G25" s="1031">
        <f>C25-E25</f>
        <v>0</v>
      </c>
    </row>
    <row r="27" spans="1:7">
      <c r="B27" s="727" t="s">
        <v>1724</v>
      </c>
      <c r="C27" s="1030" t="s">
        <v>1826</v>
      </c>
    </row>
    <row r="28" spans="1:7">
      <c r="C28" s="1031">
        <f>B13-B16</f>
        <v>0</v>
      </c>
      <c r="E28" s="1031">
        <f>B5</f>
        <v>1000</v>
      </c>
      <c r="G28" s="1031">
        <f>C28-E28</f>
        <v>-1000</v>
      </c>
    </row>
    <row r="30" spans="1:7">
      <c r="B30" s="727" t="s">
        <v>1725</v>
      </c>
      <c r="C30" s="1030" t="s">
        <v>1825</v>
      </c>
    </row>
    <row r="31" spans="1:7">
      <c r="C31" s="1031">
        <f>B15-B14</f>
        <v>1300</v>
      </c>
      <c r="E31" s="727">
        <f>B6</f>
        <v>500</v>
      </c>
      <c r="G31" s="1031">
        <f>C31-E31</f>
        <v>800</v>
      </c>
    </row>
    <row r="33" spans="1:7">
      <c r="B33" s="727" t="s">
        <v>1824</v>
      </c>
      <c r="C33" s="1031">
        <f>C22+C25+C28+C31</f>
        <v>2750</v>
      </c>
      <c r="E33" s="1031">
        <f>SUM(E22:E31)</f>
        <v>2850</v>
      </c>
      <c r="G33" s="1031">
        <f>C33-E33</f>
        <v>-100</v>
      </c>
    </row>
    <row r="35" spans="1:7" ht="15" thickBot="1">
      <c r="A35" s="727" t="s">
        <v>739</v>
      </c>
      <c r="C35" s="1031"/>
    </row>
    <row r="36" spans="1:7" ht="16.2" thickBot="1">
      <c r="A36" s="1055" t="s">
        <v>1734</v>
      </c>
      <c r="B36" s="1057"/>
    </row>
    <row r="37" spans="1:7" ht="16.2" thickBot="1">
      <c r="A37" s="753" t="s">
        <v>1735</v>
      </c>
      <c r="B37" s="1029">
        <v>5000</v>
      </c>
      <c r="C37" s="1031"/>
    </row>
    <row r="38" spans="1:7" ht="16.2" thickBot="1">
      <c r="A38" s="1032"/>
      <c r="B38" s="1029"/>
    </row>
    <row r="39" spans="1:7" ht="16.2" thickBot="1">
      <c r="A39" s="753" t="s">
        <v>1736</v>
      </c>
      <c r="B39" s="1029">
        <v>1</v>
      </c>
    </row>
    <row r="40" spans="1:7" ht="16.2" thickBot="1">
      <c r="A40" s="753" t="s">
        <v>1737</v>
      </c>
      <c r="B40" s="1029">
        <v>399</v>
      </c>
    </row>
    <row r="41" spans="1:7" ht="16.2" thickBot="1">
      <c r="A41" s="753" t="s">
        <v>1738</v>
      </c>
      <c r="B41" s="1029">
        <v>-250</v>
      </c>
    </row>
    <row r="42" spans="1:7" ht="16.2" thickBot="1">
      <c r="A42" s="753" t="s">
        <v>952</v>
      </c>
      <c r="B42" s="1029">
        <v>300</v>
      </c>
    </row>
    <row r="43" spans="1:7" ht="16.2" thickBot="1">
      <c r="A43" s="753" t="s">
        <v>1739</v>
      </c>
      <c r="B43" s="1029">
        <v>1000</v>
      </c>
    </row>
    <row r="44" spans="1:7" ht="16.2" thickBot="1">
      <c r="A44" s="753" t="s">
        <v>1740</v>
      </c>
      <c r="B44" s="1029">
        <v>100</v>
      </c>
    </row>
    <row r="45" spans="1:7" ht="15.6">
      <c r="A45" s="728"/>
      <c r="B45" s="729"/>
    </row>
    <row r="46" spans="1:7" ht="16.2" thickBot="1">
      <c r="A46" s="728"/>
      <c r="B46" s="729"/>
    </row>
    <row r="47" spans="1:7" ht="16.2" thickBot="1">
      <c r="A47" s="1055" t="s">
        <v>1741</v>
      </c>
      <c r="B47" s="1057"/>
    </row>
    <row r="48" spans="1:7" ht="16.2" thickBot="1">
      <c r="A48" s="753" t="s">
        <v>1742</v>
      </c>
      <c r="B48" s="1029">
        <v>5200</v>
      </c>
    </row>
    <row r="49" spans="1:2" ht="16.2" thickBot="1">
      <c r="A49" s="753" t="s">
        <v>1743</v>
      </c>
      <c r="B49" s="1029">
        <v>50</v>
      </c>
    </row>
    <row r="50" spans="1:2" ht="16.2" thickBot="1">
      <c r="A50" s="753" t="s">
        <v>1744</v>
      </c>
      <c r="B50" s="1029">
        <v>500</v>
      </c>
    </row>
    <row r="52" spans="1:2">
      <c r="A52" s="727" t="s">
        <v>1823</v>
      </c>
      <c r="B52" s="1030" t="s">
        <v>1822</v>
      </c>
    </row>
    <row r="53" spans="1:2">
      <c r="B53" s="727">
        <f>SUM(B39:B43)</f>
        <v>1450</v>
      </c>
    </row>
    <row r="55" spans="1:2">
      <c r="A55" s="727" t="s">
        <v>1821</v>
      </c>
      <c r="B55" s="1030" t="s">
        <v>1820</v>
      </c>
    </row>
    <row r="56" spans="1:2">
      <c r="B56" s="727">
        <f>B53+B37</f>
        <v>6450</v>
      </c>
    </row>
    <row r="58" spans="1:2">
      <c r="A58" s="727" t="s">
        <v>1819</v>
      </c>
      <c r="B58" s="1030" t="s">
        <v>1818</v>
      </c>
    </row>
    <row r="59" spans="1:2">
      <c r="B59" s="727">
        <f>B48+B49</f>
        <v>5250</v>
      </c>
    </row>
    <row r="61" spans="1:2">
      <c r="A61" s="727" t="s">
        <v>1817</v>
      </c>
      <c r="B61" s="1030" t="s">
        <v>1816</v>
      </c>
    </row>
    <row r="62" spans="1:2">
      <c r="B62" s="727">
        <f>B56-B59</f>
        <v>1200</v>
      </c>
    </row>
    <row r="64" spans="1:2">
      <c r="A64" s="727" t="s">
        <v>1815</v>
      </c>
      <c r="B64" s="1030" t="s">
        <v>1814</v>
      </c>
    </row>
    <row r="65" spans="1:2">
      <c r="B65" s="727">
        <f>B62-B50</f>
        <v>700</v>
      </c>
    </row>
    <row r="67" spans="1:2">
      <c r="A67" s="1033" t="s">
        <v>1813</v>
      </c>
      <c r="B67" s="1034" t="s">
        <v>1812</v>
      </c>
    </row>
    <row r="68" spans="1:2">
      <c r="A68" s="1033"/>
      <c r="B68" s="1035">
        <f>B65/B44</f>
        <v>7</v>
      </c>
    </row>
  </sheetData>
  <mergeCells count="4">
    <mergeCell ref="A2:B2"/>
    <mergeCell ref="A8:B8"/>
    <mergeCell ref="A36:B36"/>
    <mergeCell ref="A47:B47"/>
  </mergeCells>
  <pageMargins left="0.7" right="0.7" top="0.75" bottom="0.75" header="0.3" footer="0.3"/>
  <pageSetup orientation="portrait" verticalDpi="0" r:id="rId1"/>
  <headerFooter>
    <oddFooter>&amp;C_x000D_&amp;1#&amp;"Calibri"&amp;10&amp;K000000 CONFIDENTIAL</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2F8FB-81FA-4CC6-8A01-B753E0A9A8D6}">
  <sheetPr codeName="Sheet17"/>
  <dimension ref="A1:N32"/>
  <sheetViews>
    <sheetView topLeftCell="A26" workbookViewId="0"/>
  </sheetViews>
  <sheetFormatPr defaultColWidth="8.77734375" defaultRowHeight="14.4"/>
  <cols>
    <col min="1" max="1" width="15.21875" style="67" customWidth="1"/>
    <col min="2" max="3" width="8.77734375" style="67"/>
    <col min="4" max="4" width="11.5546875" style="67" customWidth="1"/>
    <col min="5" max="5" width="8.77734375" style="67"/>
    <col min="6" max="6" width="10.5546875" style="67" customWidth="1"/>
    <col min="7" max="7" width="8.77734375" style="67"/>
    <col min="8" max="8" width="9.77734375" style="67" customWidth="1"/>
    <col min="9" max="9" width="12.44140625" style="67" customWidth="1"/>
    <col min="10" max="10" width="8.77734375" style="67"/>
    <col min="11" max="11" width="11.21875" style="67" customWidth="1"/>
    <col min="12" max="12" width="8.77734375" style="67"/>
    <col min="13" max="13" width="9.5546875" style="67" customWidth="1"/>
    <col min="14" max="14" width="14.21875" style="67" customWidth="1"/>
    <col min="15" max="16384" width="8.77734375" style="67"/>
  </cols>
  <sheetData>
    <row r="1" spans="1:14" ht="17.399999999999999">
      <c r="A1" s="65" t="s">
        <v>153</v>
      </c>
      <c r="B1" s="66"/>
      <c r="C1" s="66"/>
      <c r="D1" s="66"/>
      <c r="E1" s="66"/>
      <c r="F1" s="66"/>
      <c r="G1" s="66"/>
      <c r="H1" s="66"/>
      <c r="I1" s="66"/>
      <c r="J1" s="66"/>
      <c r="K1" s="66"/>
      <c r="L1" s="66"/>
      <c r="M1" s="66"/>
      <c r="N1" s="66"/>
    </row>
    <row r="2" spans="1:14" ht="15.6">
      <c r="A2" s="68" t="s">
        <v>154</v>
      </c>
      <c r="B2" s="66"/>
      <c r="C2" s="66"/>
      <c r="D2" s="66"/>
      <c r="E2" s="66"/>
      <c r="F2" s="66"/>
      <c r="G2" s="66"/>
      <c r="H2" s="66"/>
      <c r="I2" s="66"/>
      <c r="J2" s="66"/>
      <c r="K2" s="66"/>
      <c r="L2" s="66"/>
      <c r="M2" s="66"/>
      <c r="N2" s="66"/>
    </row>
    <row r="3" spans="1:14" ht="15.6">
      <c r="A3" s="68" t="s">
        <v>155</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156</v>
      </c>
      <c r="B5" s="66"/>
      <c r="C5" s="66"/>
      <c r="D5" s="66"/>
      <c r="E5" s="66"/>
      <c r="F5" s="66"/>
      <c r="G5" s="66"/>
      <c r="H5" s="66"/>
      <c r="I5" s="66"/>
      <c r="J5" s="66"/>
      <c r="K5" s="66"/>
      <c r="L5" s="66"/>
      <c r="M5" s="66"/>
      <c r="N5" s="66"/>
    </row>
    <row r="6" spans="1:14" ht="15.6">
      <c r="A6" s="71"/>
      <c r="B6" s="66"/>
      <c r="C6" s="66"/>
      <c r="D6" s="66"/>
      <c r="E6" s="66"/>
      <c r="F6" s="66"/>
      <c r="G6" s="66"/>
      <c r="H6" s="66"/>
      <c r="I6" s="66"/>
      <c r="J6" s="66"/>
      <c r="K6" s="66"/>
      <c r="L6" s="66"/>
      <c r="M6" s="66"/>
      <c r="N6" s="66"/>
    </row>
    <row r="7" spans="1:14" ht="15.6">
      <c r="A7" s="86"/>
      <c r="B7" s="87"/>
      <c r="C7" s="87"/>
      <c r="D7" s="87"/>
      <c r="E7" s="1170" t="s">
        <v>157</v>
      </c>
      <c r="F7" s="1171"/>
      <c r="G7" s="1171"/>
      <c r="H7" s="1172"/>
      <c r="I7" s="1173" t="s">
        <v>158</v>
      </c>
      <c r="J7" s="1170" t="s">
        <v>159</v>
      </c>
      <c r="K7" s="1171"/>
      <c r="L7" s="1171"/>
      <c r="M7" s="1172"/>
      <c r="N7" s="1173" t="s">
        <v>160</v>
      </c>
    </row>
    <row r="8" spans="1:14" ht="62.4">
      <c r="A8" s="88" t="s">
        <v>161</v>
      </c>
      <c r="B8" s="88" t="s">
        <v>162</v>
      </c>
      <c r="C8" s="89" t="s">
        <v>163</v>
      </c>
      <c r="D8" s="89" t="s">
        <v>164</v>
      </c>
      <c r="E8" s="90" t="s">
        <v>165</v>
      </c>
      <c r="F8" s="91" t="s">
        <v>166</v>
      </c>
      <c r="G8" s="91" t="s">
        <v>167</v>
      </c>
      <c r="H8" s="92" t="s">
        <v>168</v>
      </c>
      <c r="I8" s="1174"/>
      <c r="J8" s="90" t="s">
        <v>165</v>
      </c>
      <c r="K8" s="91" t="s">
        <v>166</v>
      </c>
      <c r="L8" s="91" t="s">
        <v>167</v>
      </c>
      <c r="M8" s="92" t="s">
        <v>168</v>
      </c>
      <c r="N8" s="1174"/>
    </row>
    <row r="9" spans="1:14" ht="15.6">
      <c r="A9" s="93">
        <v>1</v>
      </c>
      <c r="B9" s="93">
        <v>310</v>
      </c>
      <c r="C9" s="87">
        <v>70</v>
      </c>
      <c r="D9" s="87">
        <v>45</v>
      </c>
      <c r="E9" s="94">
        <v>800</v>
      </c>
      <c r="F9" s="95">
        <v>200</v>
      </c>
      <c r="G9" s="95">
        <v>-56.699999999999996</v>
      </c>
      <c r="H9" s="96">
        <v>150</v>
      </c>
      <c r="I9" s="97">
        <v>480</v>
      </c>
      <c r="J9" s="94">
        <v>760</v>
      </c>
      <c r="K9" s="95">
        <v>202</v>
      </c>
      <c r="L9" s="95">
        <v>-51.344999999999999</v>
      </c>
      <c r="M9" s="96">
        <v>142.5</v>
      </c>
      <c r="N9" s="97">
        <v>456</v>
      </c>
    </row>
    <row r="10" spans="1:14" ht="15.6">
      <c r="A10" s="93">
        <v>2</v>
      </c>
      <c r="B10" s="93">
        <v>310</v>
      </c>
      <c r="C10" s="87">
        <v>70</v>
      </c>
      <c r="D10" s="87">
        <v>45</v>
      </c>
      <c r="E10" s="94">
        <v>828.20791632710495</v>
      </c>
      <c r="F10" s="95">
        <v>200.4824235067338</v>
      </c>
      <c r="G10" s="95">
        <v>-59.234193914068818</v>
      </c>
      <c r="H10" s="96">
        <v>151.26684704288621</v>
      </c>
      <c r="I10" s="97">
        <v>496.92474979626297</v>
      </c>
      <c r="J10" s="94">
        <v>786.79752051074968</v>
      </c>
      <c r="K10" s="95">
        <v>202.48724774180113</v>
      </c>
      <c r="L10" s="95">
        <v>-53.746405682180537</v>
      </c>
      <c r="M10" s="96">
        <v>143.70350469074191</v>
      </c>
      <c r="N10" s="97">
        <v>472.0785123064498</v>
      </c>
    </row>
    <row r="11" spans="1:14" ht="15.6">
      <c r="A11" s="93">
        <v>3</v>
      </c>
      <c r="B11" s="93">
        <v>310</v>
      </c>
      <c r="C11" s="87">
        <v>70</v>
      </c>
      <c r="D11" s="87">
        <v>45</v>
      </c>
      <c r="E11" s="94">
        <v>882.13769177947029</v>
      </c>
      <c r="F11" s="95">
        <v>203.8257029855468</v>
      </c>
      <c r="G11" s="95">
        <v>-63.111063175309184</v>
      </c>
      <c r="H11" s="96">
        <v>151.49949853713571</v>
      </c>
      <c r="I11" s="97">
        <v>529.28261506768217</v>
      </c>
      <c r="J11" s="94">
        <v>838.03080719049672</v>
      </c>
      <c r="K11" s="95">
        <v>205.86396001540226</v>
      </c>
      <c r="L11" s="95">
        <v>-57.387306158925824</v>
      </c>
      <c r="M11" s="96">
        <v>143.92452361027892</v>
      </c>
      <c r="N11" s="97">
        <v>502.81848431429802</v>
      </c>
    </row>
    <row r="12" spans="1:14" ht="15.6">
      <c r="A12" s="93">
        <v>4</v>
      </c>
      <c r="B12" s="93">
        <v>310</v>
      </c>
      <c r="C12" s="87">
        <v>70</v>
      </c>
      <c r="D12" s="87">
        <v>45</v>
      </c>
      <c r="E12" s="94">
        <v>823.64485100767808</v>
      </c>
      <c r="F12" s="95">
        <v>202.31482921067072</v>
      </c>
      <c r="G12" s="95">
        <v>-58.552890637331473</v>
      </c>
      <c r="H12" s="96">
        <v>151.68017755679699</v>
      </c>
      <c r="I12" s="97">
        <v>494.18691060460685</v>
      </c>
      <c r="J12" s="94">
        <v>782.4626084572941</v>
      </c>
      <c r="K12" s="95">
        <v>204.33797750277742</v>
      </c>
      <c r="L12" s="95">
        <v>-53.076079257410434</v>
      </c>
      <c r="M12" s="96">
        <v>144.09616867895713</v>
      </c>
      <c r="N12" s="97">
        <v>469.47756507437651</v>
      </c>
    </row>
    <row r="13" spans="1:14" ht="15.6">
      <c r="A13" s="93">
        <v>5</v>
      </c>
      <c r="B13" s="93">
        <v>310</v>
      </c>
      <c r="C13" s="87">
        <v>70</v>
      </c>
      <c r="D13" s="87">
        <v>45</v>
      </c>
      <c r="E13" s="94">
        <v>842.76864033785171</v>
      </c>
      <c r="F13" s="95">
        <v>202.63324848695308</v>
      </c>
      <c r="G13" s="95">
        <v>-60.319354479806414</v>
      </c>
      <c r="H13" s="96">
        <v>152.7608136842239</v>
      </c>
      <c r="I13" s="97">
        <v>505.66118420271101</v>
      </c>
      <c r="J13" s="94">
        <v>800.63020832095913</v>
      </c>
      <c r="K13" s="95">
        <v>204.65958097182261</v>
      </c>
      <c r="L13" s="95">
        <v>-54.750207824880469</v>
      </c>
      <c r="M13" s="96">
        <v>145.1227730000127</v>
      </c>
      <c r="N13" s="97">
        <v>480.37812499257547</v>
      </c>
    </row>
    <row r="14" spans="1:14" ht="15.6">
      <c r="A14" s="93">
        <v>6</v>
      </c>
      <c r="B14" s="93">
        <v>310</v>
      </c>
      <c r="C14" s="87">
        <v>70</v>
      </c>
      <c r="D14" s="87">
        <v>45</v>
      </c>
      <c r="E14" s="94">
        <v>801.83282169763231</v>
      </c>
      <c r="F14" s="95">
        <v>200.07009334174424</v>
      </c>
      <c r="G14" s="95">
        <v>-57.242652650422201</v>
      </c>
      <c r="H14" s="96">
        <v>151.92102490279706</v>
      </c>
      <c r="I14" s="97">
        <v>481.09969301857939</v>
      </c>
      <c r="J14" s="94">
        <v>761.74118061275067</v>
      </c>
      <c r="K14" s="95">
        <v>202.07079427516169</v>
      </c>
      <c r="L14" s="95">
        <v>-51.859636841795115</v>
      </c>
      <c r="M14" s="96">
        <v>144.32497365765721</v>
      </c>
      <c r="N14" s="97">
        <v>457.0447083676504</v>
      </c>
    </row>
    <row r="15" spans="1:14" ht="15.6">
      <c r="A15" s="93">
        <v>7</v>
      </c>
      <c r="B15" s="93">
        <v>310</v>
      </c>
      <c r="C15" s="87">
        <v>70</v>
      </c>
      <c r="D15" s="87">
        <v>45</v>
      </c>
      <c r="E15" s="94">
        <v>854.2758837793973</v>
      </c>
      <c r="F15" s="95">
        <v>201.68025319734681</v>
      </c>
      <c r="G15" s="95">
        <v>-60.927028362626508</v>
      </c>
      <c r="H15" s="96">
        <v>150.09860617428552</v>
      </c>
      <c r="I15" s="97">
        <v>512.56553026763834</v>
      </c>
      <c r="J15" s="94">
        <v>811.56208959042738</v>
      </c>
      <c r="K15" s="95">
        <v>203.69705572932028</v>
      </c>
      <c r="L15" s="95">
        <v>-55.339505754208609</v>
      </c>
      <c r="M15" s="96">
        <v>142.59367586557124</v>
      </c>
      <c r="N15" s="97">
        <v>486.9372537542564</v>
      </c>
    </row>
    <row r="16" spans="1:14" ht="15.6">
      <c r="A16" s="93">
        <v>8</v>
      </c>
      <c r="B16" s="93">
        <v>310</v>
      </c>
      <c r="C16" s="87">
        <v>70</v>
      </c>
      <c r="D16" s="87">
        <v>45</v>
      </c>
      <c r="E16" s="94">
        <v>868.63830264800947</v>
      </c>
      <c r="F16" s="95">
        <v>200.48258240457906</v>
      </c>
      <c r="G16" s="95">
        <v>-62.618850952433242</v>
      </c>
      <c r="H16" s="96">
        <v>151.21226588077161</v>
      </c>
      <c r="I16" s="97">
        <v>521.18298158880566</v>
      </c>
      <c r="J16" s="94">
        <v>825.20638751560898</v>
      </c>
      <c r="K16" s="95">
        <v>202.48740822862484</v>
      </c>
      <c r="L16" s="95">
        <v>-56.961827866513872</v>
      </c>
      <c r="M16" s="96">
        <v>143.65165258673304</v>
      </c>
      <c r="N16" s="97">
        <v>495.12383250936534</v>
      </c>
    </row>
    <row r="17" spans="1:14" ht="15.6">
      <c r="A17" s="93">
        <v>9</v>
      </c>
      <c r="B17" s="93">
        <v>310</v>
      </c>
      <c r="C17" s="87">
        <v>70</v>
      </c>
      <c r="D17" s="87">
        <v>45</v>
      </c>
      <c r="E17" s="94">
        <v>836.10211627951833</v>
      </c>
      <c r="F17" s="95">
        <v>203.67139202416911</v>
      </c>
      <c r="G17" s="95">
        <v>-59.442726999040183</v>
      </c>
      <c r="H17" s="96">
        <v>152.29115026969598</v>
      </c>
      <c r="I17" s="97">
        <v>501.66126976771096</v>
      </c>
      <c r="J17" s="94">
        <v>794.29701046554237</v>
      </c>
      <c r="K17" s="95">
        <v>205.70810594441079</v>
      </c>
      <c r="L17" s="95">
        <v>-53.904331109583637</v>
      </c>
      <c r="M17" s="96">
        <v>144.67659275621116</v>
      </c>
      <c r="N17" s="97">
        <v>476.5782062793254</v>
      </c>
    </row>
    <row r="18" spans="1:14" ht="15.6">
      <c r="A18" s="93">
        <v>10</v>
      </c>
      <c r="B18" s="93">
        <v>310</v>
      </c>
      <c r="C18" s="87">
        <v>70</v>
      </c>
      <c r="D18" s="87">
        <v>45</v>
      </c>
      <c r="E18" s="94">
        <v>853.90987000240534</v>
      </c>
      <c r="F18" s="95">
        <v>200.09899656730371</v>
      </c>
      <c r="G18" s="95">
        <v>-61.347786426436301</v>
      </c>
      <c r="H18" s="96">
        <v>150.66736488270496</v>
      </c>
      <c r="I18" s="97">
        <v>512.34592200144323</v>
      </c>
      <c r="J18" s="94">
        <v>811.21437650228506</v>
      </c>
      <c r="K18" s="95">
        <v>202.09998653297674</v>
      </c>
      <c r="L18" s="95">
        <v>-55.75914974836644</v>
      </c>
      <c r="M18" s="96">
        <v>143.1339966385697</v>
      </c>
      <c r="N18" s="97">
        <v>486.72862590137106</v>
      </c>
    </row>
    <row r="19" spans="1:14" ht="15.6">
      <c r="A19" s="93">
        <v>11</v>
      </c>
      <c r="B19" s="93">
        <v>310</v>
      </c>
      <c r="C19" s="87">
        <v>70</v>
      </c>
      <c r="D19" s="87">
        <v>45</v>
      </c>
      <c r="E19" s="94">
        <v>839.58023840050589</v>
      </c>
      <c r="F19" s="95">
        <v>200.30946296269497</v>
      </c>
      <c r="G19" s="95">
        <v>-60.449584804934254</v>
      </c>
      <c r="H19" s="96">
        <v>152.33253334027472</v>
      </c>
      <c r="I19" s="97">
        <v>503.74814304030349</v>
      </c>
      <c r="J19" s="94">
        <v>797.60122648048059</v>
      </c>
      <c r="K19" s="95">
        <v>202.31255759232192</v>
      </c>
      <c r="L19" s="95">
        <v>-54.903206331357566</v>
      </c>
      <c r="M19" s="96">
        <v>144.71590667326097</v>
      </c>
      <c r="N19" s="97">
        <v>478.56073588828832</v>
      </c>
    </row>
    <row r="20" spans="1:14" ht="15.6">
      <c r="A20" s="93">
        <v>12</v>
      </c>
      <c r="B20" s="93">
        <v>310</v>
      </c>
      <c r="C20" s="87">
        <v>70</v>
      </c>
      <c r="D20" s="87">
        <v>45</v>
      </c>
      <c r="E20" s="94">
        <v>846.7024640365812</v>
      </c>
      <c r="F20" s="95">
        <v>202.0376814382283</v>
      </c>
      <c r="G20" s="95">
        <v>-60.654623158615316</v>
      </c>
      <c r="H20" s="96">
        <v>152.18823467414495</v>
      </c>
      <c r="I20" s="97">
        <v>508.0214784219487</v>
      </c>
      <c r="J20" s="94">
        <v>804.3673408347521</v>
      </c>
      <c r="K20" s="95">
        <v>204.05805825261058</v>
      </c>
      <c r="L20" s="95">
        <v>-55.076217214562867</v>
      </c>
      <c r="M20" s="96">
        <v>144.5788229404377</v>
      </c>
      <c r="N20" s="97">
        <v>482.62040450085124</v>
      </c>
    </row>
    <row r="21" spans="1:14" ht="15.6">
      <c r="A21" s="93">
        <v>13</v>
      </c>
      <c r="B21" s="93">
        <v>310</v>
      </c>
      <c r="C21" s="87">
        <v>70</v>
      </c>
      <c r="D21" s="87">
        <v>45</v>
      </c>
      <c r="E21" s="94">
        <v>869.99551068981373</v>
      </c>
      <c r="F21" s="95">
        <v>200.52332725602537</v>
      </c>
      <c r="G21" s="95">
        <v>-62.624799899731748</v>
      </c>
      <c r="H21" s="96">
        <v>150.73845583596528</v>
      </c>
      <c r="I21" s="97">
        <v>521.99730641388817</v>
      </c>
      <c r="J21" s="94">
        <v>826.49573515532302</v>
      </c>
      <c r="K21" s="95">
        <v>202.52856052858561</v>
      </c>
      <c r="L21" s="95">
        <v>-56.966965981319262</v>
      </c>
      <c r="M21" s="96">
        <v>143.20153304416701</v>
      </c>
      <c r="N21" s="97">
        <v>495.89744109319372</v>
      </c>
    </row>
    <row r="22" spans="1:14" ht="15.6">
      <c r="A22" s="93">
        <v>14</v>
      </c>
      <c r="B22" s="93">
        <v>310</v>
      </c>
      <c r="C22" s="87">
        <v>70</v>
      </c>
      <c r="D22" s="87">
        <v>45</v>
      </c>
      <c r="E22" s="94">
        <v>853.55112506043804</v>
      </c>
      <c r="F22" s="95">
        <v>202.93252543247738</v>
      </c>
      <c r="G22" s="95">
        <v>-60.967920878530862</v>
      </c>
      <c r="H22" s="96">
        <v>151.83550816321105</v>
      </c>
      <c r="I22" s="97">
        <v>512.1306750362628</v>
      </c>
      <c r="J22" s="94">
        <v>810.87356880741606</v>
      </c>
      <c r="K22" s="95">
        <v>204.96185068680217</v>
      </c>
      <c r="L22" s="95">
        <v>-55.362575014155091</v>
      </c>
      <c r="M22" s="96">
        <v>144.24373275505047</v>
      </c>
      <c r="N22" s="97">
        <v>486.52414128444963</v>
      </c>
    </row>
    <row r="23" spans="1:14" ht="15.6">
      <c r="A23" s="93">
        <v>15</v>
      </c>
      <c r="B23" s="93">
        <v>310</v>
      </c>
      <c r="C23" s="87">
        <v>70</v>
      </c>
      <c r="D23" s="87">
        <v>45</v>
      </c>
      <c r="E23" s="94">
        <v>801.53643431325747</v>
      </c>
      <c r="F23" s="95">
        <v>202.2600898151295</v>
      </c>
      <c r="G23" s="95">
        <v>-56.944470284960772</v>
      </c>
      <c r="H23" s="96">
        <v>152.80966030392545</v>
      </c>
      <c r="I23" s="97">
        <v>480.92186058795448</v>
      </c>
      <c r="J23" s="94">
        <v>761.45961259759451</v>
      </c>
      <c r="K23" s="95">
        <v>204.2826907132808</v>
      </c>
      <c r="L23" s="95">
        <v>-51.548769639042099</v>
      </c>
      <c r="M23" s="96">
        <v>145.16917728872917</v>
      </c>
      <c r="N23" s="97">
        <v>456.87576755855673</v>
      </c>
    </row>
    <row r="24" spans="1:14" ht="15.6">
      <c r="A24" s="93">
        <v>16</v>
      </c>
      <c r="B24" s="93">
        <v>310</v>
      </c>
      <c r="C24" s="87">
        <v>70</v>
      </c>
      <c r="D24" s="87">
        <v>45</v>
      </c>
      <c r="E24" s="94">
        <v>861.37972054601278</v>
      </c>
      <c r="F24" s="95">
        <v>200.07165531049583</v>
      </c>
      <c r="G24" s="95">
        <v>-62.250878300571408</v>
      </c>
      <c r="H24" s="96">
        <v>151.95252090433547</v>
      </c>
      <c r="I24" s="97">
        <v>516.82783232760767</v>
      </c>
      <c r="J24" s="94">
        <v>818.31073451871214</v>
      </c>
      <c r="K24" s="95">
        <v>202.07237186360078</v>
      </c>
      <c r="L24" s="95">
        <v>-56.617431528630583</v>
      </c>
      <c r="M24" s="96">
        <v>144.3548948591187</v>
      </c>
      <c r="N24" s="97">
        <v>490.98644071122726</v>
      </c>
    </row>
    <row r="25" spans="1:14" ht="15.6">
      <c r="A25" s="93" t="s">
        <v>169</v>
      </c>
      <c r="B25" s="93">
        <v>310</v>
      </c>
      <c r="C25" s="87">
        <v>70</v>
      </c>
      <c r="D25" s="87">
        <v>45</v>
      </c>
      <c r="E25" s="94">
        <v>836.10211627951833</v>
      </c>
      <c r="F25" s="95">
        <v>203.67139202416911</v>
      </c>
      <c r="G25" s="95">
        <v>-59.442726999040183</v>
      </c>
      <c r="H25" s="96">
        <v>152.29115026969598</v>
      </c>
      <c r="I25" s="97">
        <v>501.66126976771096</v>
      </c>
      <c r="J25" s="94">
        <v>794.29701046554237</v>
      </c>
      <c r="K25" s="95">
        <v>205.70810594441079</v>
      </c>
      <c r="L25" s="95">
        <v>-53.904331109583637</v>
      </c>
      <c r="M25" s="96">
        <v>144.67659275621116</v>
      </c>
      <c r="N25" s="97">
        <v>476.5782062793254</v>
      </c>
    </row>
    <row r="26" spans="1:14" ht="15.6">
      <c r="A26" s="98" t="s">
        <v>170</v>
      </c>
      <c r="B26" s="98">
        <v>310</v>
      </c>
      <c r="C26" s="99">
        <v>70</v>
      </c>
      <c r="D26" s="99">
        <v>45</v>
      </c>
      <c r="E26" s="100">
        <v>846.7024640365812</v>
      </c>
      <c r="F26" s="101">
        <v>202.0376814382283</v>
      </c>
      <c r="G26" s="101">
        <v>-60.654623158615316</v>
      </c>
      <c r="H26" s="102">
        <v>152.18823467414495</v>
      </c>
      <c r="I26" s="103">
        <v>508.0214784219487</v>
      </c>
      <c r="J26" s="100">
        <v>804.3673408347521</v>
      </c>
      <c r="K26" s="101">
        <v>204.05805825261058</v>
      </c>
      <c r="L26" s="101">
        <v>-55.076217214562867</v>
      </c>
      <c r="M26" s="102">
        <v>144.5788229404377</v>
      </c>
      <c r="N26" s="103">
        <v>482.62040450085124</v>
      </c>
    </row>
    <row r="27" spans="1:14" ht="15.6">
      <c r="A27" s="93" t="s">
        <v>171</v>
      </c>
      <c r="B27" s="93"/>
      <c r="C27" s="87"/>
      <c r="D27" s="87"/>
      <c r="E27" s="94">
        <v>861.37972054601278</v>
      </c>
      <c r="F27" s="95">
        <v>202.63324848695308</v>
      </c>
      <c r="G27" s="95">
        <v>-61.784055900241079</v>
      </c>
      <c r="H27" s="96">
        <v>152.29115026969598</v>
      </c>
      <c r="I27" s="97">
        <v>516.82783232760767</v>
      </c>
      <c r="J27" s="94">
        <v>818.31073451871214</v>
      </c>
      <c r="K27" s="95">
        <v>204.65958097182261</v>
      </c>
      <c r="L27" s="95">
        <v>-56.141674174293421</v>
      </c>
      <c r="M27" s="96">
        <v>144.67659275621116</v>
      </c>
      <c r="N27" s="97">
        <v>490.98644071122726</v>
      </c>
    </row>
    <row r="28" spans="1:14" ht="15.6">
      <c r="A28" s="93" t="s">
        <v>172</v>
      </c>
      <c r="B28" s="93"/>
      <c r="C28" s="87"/>
      <c r="D28" s="87"/>
      <c r="E28" s="94">
        <v>873.03105596222781</v>
      </c>
      <c r="F28" s="95">
        <v>203.70996976451352</v>
      </c>
      <c r="G28" s="95">
        <v>-62.637850371500654</v>
      </c>
      <c r="H28" s="96">
        <v>152.77302533914929</v>
      </c>
      <c r="I28" s="97">
        <v>523.81863357733664</v>
      </c>
      <c r="J28" s="94">
        <v>829.37950316411639</v>
      </c>
      <c r="K28" s="95">
        <v>205.74706946215866</v>
      </c>
      <c r="L28" s="95">
        <v>-56.939212233892725</v>
      </c>
      <c r="M28" s="96">
        <v>145.1343740721918</v>
      </c>
      <c r="N28" s="97">
        <v>497.62770189846981</v>
      </c>
    </row>
    <row r="29" spans="1:14" ht="15.6">
      <c r="A29" s="98" t="s">
        <v>173</v>
      </c>
      <c r="B29" s="98"/>
      <c r="C29" s="99"/>
      <c r="D29" s="99"/>
      <c r="E29" s="100">
        <v>880.31636461602181</v>
      </c>
      <c r="F29" s="101">
        <v>203.80255634134014</v>
      </c>
      <c r="G29" s="101">
        <v>-63.236527791368133</v>
      </c>
      <c r="H29" s="102">
        <v>152.80233331097023</v>
      </c>
      <c r="I29" s="103">
        <v>528.18981876961311</v>
      </c>
      <c r="J29" s="100">
        <v>836.30054638522074</v>
      </c>
      <c r="K29" s="101">
        <v>205.84058190475355</v>
      </c>
      <c r="L29" s="101">
        <v>-57.506789191898854</v>
      </c>
      <c r="M29" s="102">
        <v>145.16221664542172</v>
      </c>
      <c r="N29" s="103">
        <v>501.78032783113241</v>
      </c>
    </row>
    <row r="30" spans="1:14">
      <c r="A30" s="66"/>
      <c r="B30" s="66"/>
      <c r="C30" s="66"/>
      <c r="D30" s="66"/>
      <c r="E30" s="66"/>
      <c r="F30" s="66"/>
      <c r="G30" s="66"/>
      <c r="H30" s="66"/>
      <c r="I30" s="66"/>
      <c r="J30" s="66"/>
      <c r="K30" s="66"/>
      <c r="L30" s="66"/>
      <c r="M30" s="66"/>
      <c r="N30" s="66"/>
    </row>
    <row r="31" spans="1:14" ht="15.6">
      <c r="A31" s="70" t="s">
        <v>175</v>
      </c>
      <c r="B31" s="66"/>
      <c r="C31" s="66"/>
      <c r="D31" s="66"/>
      <c r="E31" s="66"/>
      <c r="F31" s="66"/>
      <c r="G31" s="66"/>
      <c r="H31" s="66"/>
      <c r="I31" s="66"/>
      <c r="J31" s="66"/>
      <c r="K31" s="66"/>
      <c r="L31" s="66"/>
      <c r="M31" s="66"/>
      <c r="N31" s="66"/>
    </row>
    <row r="32" spans="1:14" ht="15.6">
      <c r="A32" s="104" t="s">
        <v>24</v>
      </c>
    </row>
  </sheetData>
  <mergeCells count="4">
    <mergeCell ref="E7:H7"/>
    <mergeCell ref="I7:I8"/>
    <mergeCell ref="J7:M7"/>
    <mergeCell ref="N7:N8"/>
  </mergeCell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40B68-D3C5-49CB-8C4E-B70F0AB2818F}">
  <sheetPr codeName="Sheet18">
    <tabColor rgb="FFFF0000"/>
  </sheetPr>
  <dimension ref="A1:N15"/>
  <sheetViews>
    <sheetView workbookViewId="0"/>
  </sheetViews>
  <sheetFormatPr defaultColWidth="8.77734375" defaultRowHeight="14.4"/>
  <cols>
    <col min="1" max="1" width="42.5546875" style="274" customWidth="1"/>
    <col min="2" max="2" width="29.77734375" style="274" customWidth="1"/>
    <col min="3" max="16384" width="8.77734375" style="274"/>
  </cols>
  <sheetData>
    <row r="1" spans="1:14" ht="17.399999999999999">
      <c r="A1" s="264" t="s">
        <v>176</v>
      </c>
      <c r="B1" s="265"/>
      <c r="C1" s="265"/>
      <c r="D1" s="265"/>
      <c r="E1" s="265"/>
      <c r="F1" s="265"/>
      <c r="G1" s="265"/>
      <c r="H1" s="265"/>
      <c r="I1" s="265"/>
      <c r="J1" s="265"/>
      <c r="K1" s="265"/>
      <c r="L1" s="265"/>
      <c r="M1" s="265"/>
      <c r="N1" s="265"/>
    </row>
    <row r="2" spans="1:14" ht="15.6">
      <c r="A2" s="266" t="s">
        <v>85</v>
      </c>
      <c r="B2" s="265"/>
      <c r="C2" s="265"/>
      <c r="D2" s="265"/>
      <c r="E2" s="265"/>
      <c r="F2" s="265"/>
      <c r="G2" s="265"/>
      <c r="H2" s="265"/>
      <c r="I2" s="265"/>
      <c r="J2" s="265"/>
      <c r="K2" s="265"/>
      <c r="L2" s="265"/>
      <c r="M2" s="265"/>
      <c r="N2" s="265"/>
    </row>
    <row r="3" spans="1:14" ht="15.6">
      <c r="A3" s="266" t="s">
        <v>177</v>
      </c>
      <c r="B3" s="267"/>
      <c r="C3" s="267"/>
      <c r="D3" s="267"/>
      <c r="E3" s="267"/>
      <c r="F3" s="267"/>
      <c r="G3" s="267"/>
      <c r="H3" s="267"/>
      <c r="I3" s="267"/>
      <c r="J3" s="267"/>
      <c r="K3" s="265"/>
      <c r="L3" s="265"/>
      <c r="M3" s="265"/>
      <c r="N3" s="265"/>
    </row>
    <row r="4" spans="1:14">
      <c r="A4" s="265"/>
      <c r="B4" s="265"/>
      <c r="C4" s="265"/>
      <c r="D4" s="265"/>
      <c r="E4" s="265"/>
      <c r="F4" s="265"/>
      <c r="G4" s="265"/>
      <c r="H4" s="265"/>
      <c r="I4" s="265"/>
      <c r="J4" s="265"/>
      <c r="K4" s="265"/>
      <c r="L4" s="265"/>
      <c r="M4" s="265"/>
      <c r="N4" s="265"/>
    </row>
    <row r="5" spans="1:14" ht="15.6">
      <c r="A5" s="268" t="s">
        <v>788</v>
      </c>
      <c r="B5" s="265"/>
      <c r="C5" s="265"/>
      <c r="D5" s="265"/>
      <c r="E5" s="265"/>
      <c r="F5" s="265"/>
      <c r="G5" s="265"/>
      <c r="H5" s="265"/>
      <c r="I5" s="265"/>
      <c r="J5" s="265"/>
      <c r="K5" s="265"/>
      <c r="L5" s="265"/>
      <c r="M5" s="265"/>
      <c r="N5" s="265"/>
    </row>
    <row r="6" spans="1:14" ht="16.2" thickBot="1">
      <c r="A6" s="315"/>
      <c r="B6" s="265"/>
      <c r="C6" s="265"/>
      <c r="D6" s="265"/>
      <c r="E6" s="265"/>
      <c r="F6" s="265"/>
      <c r="G6" s="265"/>
      <c r="H6" s="265"/>
      <c r="I6" s="265"/>
      <c r="J6" s="265"/>
      <c r="K6" s="265"/>
      <c r="L6" s="265"/>
      <c r="M6" s="265"/>
      <c r="N6" s="265"/>
    </row>
    <row r="7" spans="1:14" ht="15.6" customHeight="1" thickBot="1">
      <c r="A7" s="359" t="s">
        <v>178</v>
      </c>
      <c r="B7" s="360">
        <v>500000</v>
      </c>
      <c r="C7" s="265"/>
      <c r="D7" s="265"/>
      <c r="E7" s="265"/>
      <c r="F7" s="265"/>
      <c r="G7" s="265"/>
      <c r="H7" s="265"/>
      <c r="I7" s="265"/>
      <c r="J7" s="265"/>
      <c r="K7" s="265"/>
      <c r="L7" s="265"/>
      <c r="M7" s="265"/>
      <c r="N7" s="265"/>
    </row>
    <row r="8" spans="1:14" ht="15.6" customHeight="1" thickBot="1">
      <c r="A8" s="361" t="s">
        <v>179</v>
      </c>
      <c r="B8" s="362">
        <v>550000</v>
      </c>
      <c r="C8" s="265"/>
      <c r="D8" s="265"/>
      <c r="E8" s="265"/>
      <c r="F8" s="265"/>
      <c r="G8" s="265"/>
      <c r="H8" s="265"/>
      <c r="I8" s="265"/>
      <c r="J8" s="265"/>
      <c r="K8" s="265"/>
      <c r="L8" s="265"/>
      <c r="M8" s="265"/>
      <c r="N8" s="265"/>
    </row>
    <row r="9" spans="1:14" ht="15.6" customHeight="1" thickBot="1">
      <c r="A9" s="361" t="s">
        <v>180</v>
      </c>
      <c r="B9" s="363">
        <v>0.04</v>
      </c>
      <c r="C9" s="265"/>
      <c r="D9" s="265"/>
      <c r="E9" s="265"/>
      <c r="F9" s="265"/>
      <c r="G9" s="265"/>
      <c r="H9" s="265"/>
      <c r="I9" s="265"/>
      <c r="J9" s="265"/>
      <c r="K9" s="265"/>
      <c r="L9" s="265"/>
      <c r="M9" s="265"/>
      <c r="N9" s="265"/>
    </row>
    <row r="10" spans="1:14" ht="15.6" customHeight="1" thickBot="1">
      <c r="A10" s="361" t="s">
        <v>181</v>
      </c>
      <c r="B10" s="364" t="s">
        <v>182</v>
      </c>
      <c r="C10" s="265"/>
      <c r="D10" s="265"/>
      <c r="E10" s="265"/>
      <c r="F10" s="265"/>
      <c r="G10" s="265"/>
      <c r="H10" s="265"/>
      <c r="I10" s="265"/>
      <c r="J10" s="265"/>
      <c r="K10" s="265"/>
      <c r="L10" s="265"/>
      <c r="M10" s="265"/>
      <c r="N10" s="265"/>
    </row>
    <row r="11" spans="1:14" ht="15.6" customHeight="1" thickBot="1">
      <c r="A11" s="361" t="s">
        <v>183</v>
      </c>
      <c r="B11" s="364" t="s">
        <v>184</v>
      </c>
      <c r="C11" s="265"/>
      <c r="D11" s="265"/>
      <c r="E11" s="265"/>
      <c r="F11" s="265"/>
      <c r="G11" s="265"/>
      <c r="H11" s="265"/>
      <c r="I11" s="265"/>
      <c r="J11" s="265"/>
      <c r="K11" s="265"/>
      <c r="L11" s="265"/>
      <c r="M11" s="265"/>
      <c r="N11" s="265"/>
    </row>
    <row r="12" spans="1:14" ht="15.6" customHeight="1" thickBot="1">
      <c r="A12" s="361" t="s">
        <v>185</v>
      </c>
      <c r="B12" s="364" t="s">
        <v>186</v>
      </c>
      <c r="C12" s="265"/>
      <c r="D12" s="265"/>
      <c r="E12" s="265"/>
      <c r="F12" s="265"/>
      <c r="G12" s="265"/>
      <c r="H12" s="265"/>
      <c r="I12" s="265"/>
      <c r="J12" s="265"/>
      <c r="K12" s="265"/>
      <c r="L12" s="265"/>
      <c r="M12" s="265"/>
      <c r="N12" s="265"/>
    </row>
    <row r="13" spans="1:14" ht="15.6">
      <c r="A13" s="344"/>
      <c r="B13" s="265"/>
      <c r="C13" s="265"/>
      <c r="D13" s="265"/>
      <c r="E13" s="265"/>
      <c r="F13" s="265"/>
      <c r="G13" s="265"/>
      <c r="H13" s="265"/>
      <c r="I13" s="265"/>
      <c r="J13" s="265"/>
      <c r="K13" s="265"/>
      <c r="L13" s="265"/>
      <c r="M13" s="265"/>
      <c r="N13" s="265"/>
    </row>
    <row r="14" spans="1:14" ht="15.6">
      <c r="A14" s="268" t="s">
        <v>793</v>
      </c>
      <c r="B14" s="265"/>
      <c r="C14" s="265"/>
      <c r="D14" s="265"/>
      <c r="E14" s="265"/>
      <c r="F14" s="265"/>
      <c r="G14" s="265"/>
      <c r="H14" s="265"/>
      <c r="I14" s="265"/>
      <c r="J14" s="265"/>
      <c r="K14" s="265"/>
      <c r="L14" s="265"/>
      <c r="M14" s="265"/>
      <c r="N14" s="265"/>
    </row>
    <row r="15" spans="1:14" ht="15.6">
      <c r="A15" s="368" t="s">
        <v>24</v>
      </c>
    </row>
  </sheetData>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84BEB-CDE3-4E8A-87C2-F41DDC249EFD}">
  <sheetPr codeName="Sheet19">
    <tabColor rgb="FFFF0000"/>
  </sheetPr>
  <dimension ref="A1:N21"/>
  <sheetViews>
    <sheetView workbookViewId="0"/>
  </sheetViews>
  <sheetFormatPr defaultColWidth="8.77734375" defaultRowHeight="14.4"/>
  <cols>
    <col min="1" max="1" width="42.5546875" style="274" customWidth="1"/>
    <col min="2" max="2" width="29.77734375" style="274" customWidth="1"/>
    <col min="3" max="16384" width="8.77734375" style="274"/>
  </cols>
  <sheetData>
    <row r="1" spans="1:14" ht="17.399999999999999">
      <c r="A1" s="264" t="s">
        <v>176</v>
      </c>
      <c r="B1" s="265"/>
      <c r="C1" s="265"/>
      <c r="D1" s="265"/>
      <c r="E1" s="265"/>
      <c r="F1" s="265"/>
      <c r="G1" s="265"/>
      <c r="H1" s="265"/>
      <c r="I1" s="265"/>
      <c r="J1" s="265"/>
      <c r="K1" s="265"/>
      <c r="L1" s="265"/>
      <c r="M1" s="265"/>
      <c r="N1" s="265"/>
    </row>
    <row r="2" spans="1:14" ht="15.6">
      <c r="A2" s="266" t="s">
        <v>85</v>
      </c>
      <c r="B2" s="265"/>
      <c r="C2" s="265"/>
      <c r="D2" s="265"/>
      <c r="E2" s="265"/>
      <c r="F2" s="265"/>
      <c r="G2" s="265"/>
      <c r="H2" s="265"/>
      <c r="I2" s="265"/>
      <c r="J2" s="265"/>
      <c r="K2" s="265"/>
      <c r="L2" s="265"/>
      <c r="M2" s="265"/>
      <c r="N2" s="265"/>
    </row>
    <row r="3" spans="1:14" ht="15.6">
      <c r="A3" s="266" t="s">
        <v>177</v>
      </c>
      <c r="B3" s="267"/>
      <c r="C3" s="267"/>
      <c r="D3" s="267"/>
      <c r="E3" s="267"/>
      <c r="F3" s="267"/>
      <c r="G3" s="267"/>
      <c r="H3" s="267"/>
      <c r="I3" s="267"/>
      <c r="J3" s="267"/>
      <c r="K3" s="265"/>
      <c r="L3" s="265"/>
      <c r="M3" s="265"/>
      <c r="N3" s="265"/>
    </row>
    <row r="4" spans="1:14">
      <c r="A4" s="265"/>
      <c r="B4" s="265"/>
      <c r="C4" s="265"/>
      <c r="D4" s="265"/>
      <c r="E4" s="265"/>
      <c r="F4" s="265"/>
      <c r="G4" s="265"/>
      <c r="H4" s="265"/>
      <c r="I4" s="265"/>
      <c r="J4" s="265"/>
      <c r="K4" s="265"/>
      <c r="L4" s="265"/>
      <c r="M4" s="265"/>
      <c r="N4" s="265"/>
    </row>
    <row r="5" spans="1:14" ht="15.6">
      <c r="A5" s="268" t="s">
        <v>788</v>
      </c>
      <c r="B5" s="265"/>
      <c r="C5" s="265"/>
      <c r="D5" s="265"/>
      <c r="E5" s="265"/>
      <c r="F5" s="265"/>
      <c r="G5" s="265"/>
      <c r="H5" s="265"/>
      <c r="I5" s="265"/>
      <c r="J5" s="265"/>
      <c r="K5" s="265"/>
      <c r="L5" s="265"/>
      <c r="M5" s="265"/>
      <c r="N5" s="265"/>
    </row>
    <row r="6" spans="1:14" ht="16.2" thickBot="1">
      <c r="A6" s="315"/>
      <c r="B6" s="265"/>
      <c r="C6" s="265"/>
      <c r="D6" s="265"/>
      <c r="E6" s="265"/>
      <c r="F6" s="265"/>
      <c r="G6" s="265"/>
      <c r="H6" s="265"/>
      <c r="I6" s="265"/>
      <c r="J6" s="265"/>
      <c r="K6" s="265"/>
      <c r="L6" s="265"/>
      <c r="M6" s="265"/>
      <c r="N6" s="265"/>
    </row>
    <row r="7" spans="1:14" ht="15.6" customHeight="1" thickBot="1">
      <c r="A7" s="359" t="s">
        <v>178</v>
      </c>
      <c r="B7" s="360">
        <v>500000</v>
      </c>
      <c r="C7" s="265"/>
      <c r="D7" s="265"/>
      <c r="E7" s="265"/>
      <c r="F7" s="265"/>
      <c r="G7" s="265"/>
      <c r="H7" s="265"/>
      <c r="I7" s="265"/>
      <c r="J7" s="265"/>
      <c r="K7" s="265"/>
      <c r="L7" s="265"/>
      <c r="M7" s="265"/>
      <c r="N7" s="265"/>
    </row>
    <row r="8" spans="1:14" ht="15.6" customHeight="1" thickBot="1">
      <c r="A8" s="361" t="s">
        <v>179</v>
      </c>
      <c r="B8" s="362">
        <v>550000</v>
      </c>
      <c r="C8" s="265"/>
      <c r="D8" s="265"/>
      <c r="E8" s="265"/>
      <c r="F8" s="265"/>
      <c r="G8" s="265"/>
      <c r="H8" s="265"/>
      <c r="I8" s="265"/>
      <c r="J8" s="265"/>
      <c r="K8" s="265"/>
      <c r="L8" s="265"/>
      <c r="M8" s="265"/>
      <c r="N8" s="265"/>
    </row>
    <row r="9" spans="1:14" ht="15.6" customHeight="1" thickBot="1">
      <c r="A9" s="361" t="s">
        <v>180</v>
      </c>
      <c r="B9" s="363">
        <v>0.04</v>
      </c>
      <c r="C9" s="265"/>
      <c r="D9" s="265"/>
      <c r="E9" s="265"/>
      <c r="F9" s="265"/>
      <c r="G9" s="265"/>
      <c r="H9" s="265"/>
      <c r="I9" s="265"/>
      <c r="J9" s="265"/>
      <c r="K9" s="265"/>
      <c r="L9" s="265"/>
      <c r="M9" s="265"/>
      <c r="N9" s="265"/>
    </row>
    <row r="10" spans="1:14" ht="15.6" customHeight="1" thickBot="1">
      <c r="A10" s="361" t="s">
        <v>181</v>
      </c>
      <c r="B10" s="364" t="s">
        <v>182</v>
      </c>
      <c r="C10" s="265"/>
      <c r="D10" s="265"/>
      <c r="E10" s="265"/>
      <c r="F10" s="265"/>
      <c r="G10" s="265"/>
      <c r="H10" s="265"/>
      <c r="I10" s="265"/>
      <c r="J10" s="265"/>
      <c r="K10" s="265"/>
      <c r="L10" s="265"/>
      <c r="M10" s="265"/>
      <c r="N10" s="265"/>
    </row>
    <row r="11" spans="1:14" ht="15.6" customHeight="1" thickBot="1">
      <c r="A11" s="361" t="s">
        <v>183</v>
      </c>
      <c r="B11" s="364" t="s">
        <v>184</v>
      </c>
      <c r="C11" s="265"/>
      <c r="D11" s="265"/>
      <c r="E11" s="265"/>
      <c r="F11" s="265"/>
      <c r="G11" s="265"/>
      <c r="H11" s="265"/>
      <c r="I11" s="265"/>
      <c r="J11" s="265"/>
      <c r="K11" s="265"/>
      <c r="L11" s="265"/>
      <c r="M11" s="265"/>
      <c r="N11" s="265"/>
    </row>
    <row r="12" spans="1:14" ht="15.6" customHeight="1" thickBot="1">
      <c r="A12" s="361" t="s">
        <v>185</v>
      </c>
      <c r="B12" s="364" t="s">
        <v>186</v>
      </c>
      <c r="C12" s="265"/>
      <c r="D12" s="265"/>
      <c r="E12" s="265"/>
      <c r="F12" s="265"/>
      <c r="G12" s="265"/>
      <c r="H12" s="265"/>
      <c r="I12" s="265"/>
      <c r="J12" s="265"/>
      <c r="K12" s="265"/>
      <c r="L12" s="265"/>
      <c r="M12" s="265"/>
      <c r="N12" s="265"/>
    </row>
    <row r="13" spans="1:14" ht="15.6">
      <c r="A13" s="344"/>
      <c r="B13" s="265"/>
      <c r="C13" s="265"/>
      <c r="D13" s="265"/>
      <c r="E13" s="265"/>
      <c r="F13" s="265"/>
      <c r="G13" s="265"/>
      <c r="H13" s="265"/>
      <c r="I13" s="265"/>
      <c r="J13" s="265"/>
      <c r="K13" s="265"/>
      <c r="L13" s="265"/>
      <c r="M13" s="265"/>
      <c r="N13" s="265"/>
    </row>
    <row r="14" spans="1:14" ht="15.6">
      <c r="A14" s="268" t="s">
        <v>789</v>
      </c>
      <c r="B14" s="265"/>
      <c r="C14" s="265"/>
      <c r="D14" s="265"/>
      <c r="E14" s="265"/>
      <c r="F14" s="265"/>
      <c r="G14" s="265"/>
      <c r="H14" s="265"/>
      <c r="I14" s="265"/>
      <c r="J14" s="265"/>
      <c r="K14" s="265"/>
      <c r="L14" s="265"/>
      <c r="M14" s="265"/>
      <c r="N14" s="265"/>
    </row>
    <row r="15" spans="1:14" ht="15.6">
      <c r="A15" s="315"/>
      <c r="B15" s="265"/>
      <c r="C15" s="265"/>
      <c r="D15" s="265"/>
      <c r="E15" s="265"/>
      <c r="F15" s="265"/>
      <c r="G15" s="265"/>
      <c r="H15" s="265"/>
      <c r="I15" s="265"/>
      <c r="J15" s="265"/>
      <c r="K15" s="265"/>
      <c r="L15" s="265"/>
      <c r="M15" s="265"/>
      <c r="N15" s="265"/>
    </row>
    <row r="16" spans="1:14" ht="15.6">
      <c r="A16" s="365" t="s">
        <v>790</v>
      </c>
      <c r="B16" s="265"/>
      <c r="C16" s="265"/>
      <c r="D16" s="265"/>
      <c r="E16" s="265"/>
      <c r="F16" s="265"/>
      <c r="G16" s="265"/>
      <c r="H16" s="265"/>
      <c r="I16" s="265"/>
      <c r="J16" s="265"/>
      <c r="K16" s="265"/>
      <c r="L16" s="265"/>
      <c r="M16" s="265"/>
      <c r="N16" s="265"/>
    </row>
    <row r="17" spans="1:14" ht="15.6">
      <c r="A17" s="365" t="s">
        <v>791</v>
      </c>
      <c r="B17" s="265"/>
      <c r="C17" s="265"/>
      <c r="D17" s="265"/>
      <c r="E17" s="265"/>
      <c r="F17" s="265"/>
      <c r="G17" s="265"/>
      <c r="H17" s="265"/>
      <c r="I17" s="265"/>
      <c r="J17" s="265"/>
      <c r="K17" s="265"/>
      <c r="L17" s="265"/>
      <c r="M17" s="265"/>
      <c r="N17" s="265"/>
    </row>
    <row r="18" spans="1:14" ht="15.6">
      <c r="A18" s="365" t="s">
        <v>792</v>
      </c>
      <c r="B18" s="265"/>
      <c r="C18" s="265"/>
      <c r="D18" s="265"/>
      <c r="E18" s="265"/>
      <c r="F18" s="265"/>
      <c r="G18" s="265"/>
      <c r="H18" s="265"/>
      <c r="I18" s="265"/>
      <c r="J18" s="265"/>
      <c r="K18" s="265"/>
      <c r="L18" s="265"/>
      <c r="M18" s="265"/>
      <c r="N18" s="265"/>
    </row>
    <row r="19" spans="1:14" ht="15.6">
      <c r="A19" s="366" t="s">
        <v>187</v>
      </c>
      <c r="B19" s="265"/>
      <c r="C19" s="265"/>
      <c r="D19" s="265"/>
      <c r="E19" s="265"/>
      <c r="F19" s="265"/>
      <c r="G19" s="265"/>
      <c r="H19" s="265"/>
      <c r="I19" s="265"/>
      <c r="J19" s="265"/>
      <c r="K19" s="265"/>
      <c r="L19" s="265"/>
      <c r="M19" s="265"/>
      <c r="N19" s="265"/>
    </row>
    <row r="20" spans="1:14" ht="15.6">
      <c r="A20" s="367" t="s">
        <v>188</v>
      </c>
      <c r="B20" s="265"/>
      <c r="C20" s="265"/>
      <c r="D20" s="265"/>
      <c r="E20" s="265"/>
      <c r="F20" s="265"/>
      <c r="G20" s="265"/>
      <c r="H20" s="265"/>
      <c r="I20" s="265"/>
      <c r="J20" s="265"/>
      <c r="K20" s="265"/>
      <c r="L20" s="265"/>
      <c r="M20" s="265"/>
      <c r="N20" s="265"/>
    </row>
    <row r="21" spans="1:14" ht="15.6">
      <c r="A21" s="368" t="s">
        <v>24</v>
      </c>
    </row>
  </sheetData>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BC55-B410-4D7C-A2C2-DB97101FD66E}">
  <sheetPr codeName="Sheet20"/>
  <dimension ref="A1:N35"/>
  <sheetViews>
    <sheetView topLeftCell="A26" workbookViewId="0"/>
  </sheetViews>
  <sheetFormatPr defaultColWidth="8.77734375" defaultRowHeight="14.4"/>
  <cols>
    <col min="1" max="1" width="37.77734375" style="67" customWidth="1"/>
    <col min="2" max="2" width="25.5546875" style="67" customWidth="1"/>
    <col min="3" max="16384" width="8.77734375" style="67"/>
  </cols>
  <sheetData>
    <row r="1" spans="1:14" ht="17.399999999999999">
      <c r="A1" s="65" t="s">
        <v>189</v>
      </c>
      <c r="B1" s="66"/>
      <c r="C1" s="66"/>
      <c r="D1" s="66"/>
      <c r="E1" s="66"/>
      <c r="F1" s="66"/>
      <c r="G1" s="66"/>
      <c r="H1" s="66"/>
      <c r="I1" s="66"/>
      <c r="J1" s="66"/>
      <c r="K1" s="66"/>
      <c r="L1" s="66"/>
      <c r="M1" s="66"/>
      <c r="N1" s="66"/>
    </row>
    <row r="2" spans="1:14" ht="15.6">
      <c r="A2" s="68" t="s">
        <v>190</v>
      </c>
      <c r="B2" s="66"/>
      <c r="C2" s="66"/>
      <c r="D2" s="66"/>
      <c r="E2" s="66"/>
      <c r="F2" s="66"/>
      <c r="G2" s="66"/>
      <c r="H2" s="66"/>
      <c r="I2" s="66"/>
      <c r="J2" s="66"/>
      <c r="K2" s="66"/>
      <c r="L2" s="66"/>
      <c r="M2" s="66"/>
      <c r="N2" s="66"/>
    </row>
    <row r="3" spans="1:14" ht="15.6">
      <c r="A3" s="68" t="s">
        <v>191</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192</v>
      </c>
      <c r="B5" s="66"/>
      <c r="C5" s="66"/>
      <c r="D5" s="66"/>
      <c r="E5" s="66"/>
      <c r="F5" s="66"/>
      <c r="G5" s="66"/>
      <c r="H5" s="66"/>
      <c r="I5" s="66"/>
      <c r="J5" s="66"/>
      <c r="K5" s="66"/>
      <c r="L5" s="66"/>
      <c r="M5" s="66"/>
      <c r="N5" s="66"/>
    </row>
    <row r="6" spans="1:14">
      <c r="A6" s="66"/>
      <c r="B6" s="66"/>
      <c r="C6" s="66"/>
      <c r="D6" s="66"/>
      <c r="E6" s="66"/>
      <c r="F6" s="66"/>
      <c r="G6" s="66"/>
      <c r="H6" s="66"/>
      <c r="I6" s="66"/>
      <c r="J6" s="66"/>
      <c r="K6" s="66"/>
      <c r="L6" s="66"/>
      <c r="M6" s="66"/>
      <c r="N6" s="66"/>
    </row>
    <row r="7" spans="1:14" ht="15.6">
      <c r="A7" s="109" t="s">
        <v>193</v>
      </c>
      <c r="B7" s="66"/>
      <c r="C7" s="66"/>
      <c r="D7" s="66"/>
      <c r="E7" s="66"/>
      <c r="F7" s="66"/>
      <c r="G7" s="66"/>
      <c r="H7" s="66"/>
      <c r="I7" s="66"/>
      <c r="J7" s="66"/>
      <c r="K7" s="66"/>
      <c r="L7" s="66"/>
      <c r="M7" s="66"/>
      <c r="N7" s="66"/>
    </row>
    <row r="8" spans="1:14" ht="15.6">
      <c r="A8" s="109" t="s">
        <v>194</v>
      </c>
      <c r="B8" s="66"/>
      <c r="C8" s="66"/>
      <c r="D8" s="66"/>
      <c r="E8" s="66"/>
      <c r="F8" s="66"/>
      <c r="G8" s="66"/>
      <c r="H8" s="66"/>
      <c r="I8" s="66"/>
      <c r="J8" s="66"/>
      <c r="K8" s="66"/>
      <c r="L8" s="66"/>
      <c r="M8" s="66"/>
      <c r="N8" s="66"/>
    </row>
    <row r="9" spans="1:14" ht="15.6">
      <c r="A9" s="109" t="s">
        <v>195</v>
      </c>
      <c r="B9" s="66"/>
      <c r="C9" s="66"/>
      <c r="D9" s="66"/>
      <c r="E9" s="66"/>
      <c r="F9" s="66"/>
      <c r="G9" s="66"/>
      <c r="H9" s="66"/>
      <c r="I9" s="66"/>
      <c r="J9" s="66"/>
      <c r="K9" s="66"/>
      <c r="L9" s="66"/>
      <c r="M9" s="66"/>
      <c r="N9" s="66"/>
    </row>
    <row r="10" spans="1:14" ht="15.6">
      <c r="A10" s="109" t="s">
        <v>196</v>
      </c>
      <c r="B10" s="66"/>
      <c r="C10" s="66"/>
      <c r="D10" s="66"/>
      <c r="E10" s="66"/>
      <c r="F10" s="66"/>
      <c r="G10" s="66"/>
      <c r="H10" s="66"/>
      <c r="I10" s="66"/>
      <c r="J10" s="66"/>
      <c r="K10" s="66"/>
      <c r="L10" s="66"/>
      <c r="M10" s="66"/>
      <c r="N10" s="66"/>
    </row>
    <row r="11" spans="1:14" ht="15.6">
      <c r="A11" s="109" t="s">
        <v>197</v>
      </c>
      <c r="B11" s="66"/>
      <c r="C11" s="66"/>
      <c r="D11" s="66"/>
      <c r="E11" s="66"/>
      <c r="F11" s="66"/>
      <c r="G11" s="66"/>
      <c r="H11" s="66"/>
      <c r="I11" s="66"/>
      <c r="J11" s="66"/>
      <c r="K11" s="66"/>
      <c r="L11" s="66"/>
      <c r="M11" s="66"/>
      <c r="N11" s="66"/>
    </row>
    <row r="12" spans="1:14">
      <c r="A12" s="66"/>
      <c r="B12" s="66"/>
      <c r="C12" s="66"/>
      <c r="D12" s="66"/>
      <c r="E12" s="66"/>
      <c r="F12" s="66"/>
      <c r="G12" s="66"/>
      <c r="H12" s="66"/>
      <c r="I12" s="66"/>
      <c r="J12" s="66"/>
      <c r="K12" s="66"/>
      <c r="L12" s="66"/>
      <c r="M12" s="66"/>
      <c r="N12" s="66"/>
    </row>
    <row r="13" spans="1:14" ht="15.6">
      <c r="A13" s="70" t="s">
        <v>198</v>
      </c>
      <c r="B13" s="66"/>
      <c r="C13" s="66"/>
      <c r="D13" s="66"/>
      <c r="E13" s="66"/>
      <c r="F13" s="66"/>
      <c r="G13" s="66"/>
      <c r="H13" s="66"/>
      <c r="I13" s="66"/>
      <c r="J13" s="66"/>
      <c r="K13" s="66"/>
      <c r="L13" s="66"/>
      <c r="M13" s="66"/>
      <c r="N13" s="66"/>
    </row>
    <row r="14" spans="1:14" ht="16.2" thickBot="1">
      <c r="A14" s="108"/>
      <c r="B14" s="66"/>
      <c r="C14" s="66"/>
      <c r="D14" s="66"/>
      <c r="E14" s="66"/>
      <c r="F14" s="66"/>
      <c r="G14" s="66"/>
      <c r="H14" s="66"/>
      <c r="I14" s="66"/>
      <c r="J14" s="66"/>
      <c r="K14" s="66"/>
      <c r="L14" s="66"/>
      <c r="M14" s="66"/>
      <c r="N14" s="66"/>
    </row>
    <row r="15" spans="1:14" ht="15.6" customHeight="1" thickBot="1">
      <c r="A15" s="110" t="s">
        <v>199</v>
      </c>
      <c r="B15" s="111">
        <v>100000</v>
      </c>
      <c r="C15" s="66"/>
      <c r="D15" s="66"/>
      <c r="E15" s="66"/>
      <c r="F15" s="66"/>
      <c r="G15" s="66"/>
      <c r="H15" s="66"/>
      <c r="I15" s="66"/>
      <c r="J15" s="66"/>
      <c r="K15" s="66"/>
      <c r="L15" s="66"/>
      <c r="M15" s="66"/>
      <c r="N15" s="66"/>
    </row>
    <row r="16" spans="1:14" ht="15.6" customHeight="1" thickBot="1">
      <c r="A16" s="112" t="s">
        <v>200</v>
      </c>
      <c r="B16" s="113" t="s">
        <v>201</v>
      </c>
      <c r="C16" s="66"/>
      <c r="D16" s="66"/>
      <c r="E16" s="66"/>
      <c r="F16" s="66"/>
      <c r="G16" s="66"/>
      <c r="H16" s="66"/>
      <c r="I16" s="66"/>
      <c r="J16" s="66"/>
      <c r="K16" s="66"/>
      <c r="L16" s="66"/>
      <c r="M16" s="66"/>
      <c r="N16" s="66"/>
    </row>
    <row r="17" spans="1:14" ht="15.6" customHeight="1" thickBot="1">
      <c r="A17" s="112" t="s">
        <v>202</v>
      </c>
      <c r="B17" s="114">
        <v>0.02</v>
      </c>
      <c r="C17" s="66"/>
      <c r="D17" s="66"/>
      <c r="E17" s="66"/>
      <c r="F17" s="66"/>
      <c r="G17" s="66"/>
      <c r="H17" s="66"/>
      <c r="I17" s="66"/>
      <c r="J17" s="66"/>
      <c r="K17" s="66"/>
      <c r="L17" s="66"/>
      <c r="M17" s="66"/>
      <c r="N17" s="66"/>
    </row>
    <row r="18" spans="1:14" ht="15.6" customHeight="1" thickBot="1">
      <c r="A18" s="112" t="s">
        <v>203</v>
      </c>
      <c r="B18" s="115">
        <v>0.04</v>
      </c>
      <c r="C18" s="66"/>
      <c r="D18" s="66"/>
      <c r="E18" s="66"/>
      <c r="F18" s="66"/>
      <c r="G18" s="66"/>
      <c r="H18" s="66"/>
      <c r="I18" s="66"/>
      <c r="J18" s="66"/>
      <c r="K18" s="66"/>
      <c r="L18" s="66"/>
      <c r="M18" s="66"/>
      <c r="N18" s="66"/>
    </row>
    <row r="19" spans="1:14" ht="15.6" customHeight="1" thickBot="1">
      <c r="A19" s="112" t="s">
        <v>204</v>
      </c>
      <c r="B19" s="113">
        <v>50</v>
      </c>
      <c r="C19" s="66"/>
      <c r="D19" s="66"/>
      <c r="E19" s="66"/>
      <c r="F19" s="66"/>
      <c r="G19" s="66"/>
      <c r="H19" s="66"/>
      <c r="I19" s="66"/>
      <c r="J19" s="66"/>
      <c r="K19" s="66"/>
      <c r="L19" s="66"/>
      <c r="M19" s="66"/>
      <c r="N19" s="66"/>
    </row>
    <row r="20" spans="1:14" ht="16.2" thickBot="1">
      <c r="A20" s="112" t="s">
        <v>205</v>
      </c>
      <c r="B20" s="114">
        <v>0.03</v>
      </c>
      <c r="C20" s="66"/>
      <c r="D20" s="66"/>
      <c r="E20" s="66"/>
      <c r="F20" s="66"/>
      <c r="G20" s="66"/>
      <c r="H20" s="66"/>
      <c r="I20" s="66"/>
      <c r="J20" s="66"/>
      <c r="K20" s="66"/>
      <c r="L20" s="66"/>
      <c r="M20" s="66"/>
      <c r="N20" s="66"/>
    </row>
    <row r="21" spans="1:14" ht="31.8" thickBot="1">
      <c r="A21" s="112" t="s">
        <v>206</v>
      </c>
      <c r="B21" s="114">
        <v>3.5000000000000003E-2</v>
      </c>
      <c r="C21" s="66"/>
      <c r="D21" s="66"/>
      <c r="E21" s="66"/>
      <c r="F21" s="66"/>
      <c r="G21" s="66"/>
      <c r="H21" s="66"/>
      <c r="I21" s="66"/>
      <c r="J21" s="66"/>
      <c r="K21" s="66"/>
      <c r="L21" s="66"/>
      <c r="M21" s="66"/>
      <c r="N21" s="66"/>
    </row>
    <row r="22" spans="1:14" ht="15.6">
      <c r="A22" s="1175" t="s">
        <v>207</v>
      </c>
      <c r="B22" s="116" t="s">
        <v>208</v>
      </c>
      <c r="C22" s="66"/>
      <c r="D22" s="66"/>
      <c r="E22" s="66"/>
      <c r="F22" s="66"/>
      <c r="G22" s="66"/>
      <c r="H22" s="66"/>
      <c r="I22" s="66"/>
      <c r="J22" s="66"/>
      <c r="K22" s="66"/>
      <c r="L22" s="66"/>
      <c r="M22" s="66"/>
      <c r="N22" s="66"/>
    </row>
    <row r="23" spans="1:14" ht="15.6">
      <c r="A23" s="1176"/>
      <c r="B23" s="116" t="s">
        <v>209</v>
      </c>
      <c r="C23" s="66"/>
      <c r="D23" s="66"/>
      <c r="E23" s="66"/>
      <c r="F23" s="66"/>
      <c r="G23" s="66"/>
      <c r="H23" s="66"/>
      <c r="I23" s="66"/>
      <c r="J23" s="66"/>
      <c r="K23" s="66"/>
      <c r="L23" s="66"/>
      <c r="M23" s="66"/>
      <c r="N23" s="66"/>
    </row>
    <row r="24" spans="1:14" ht="15.6">
      <c r="A24" s="1176"/>
      <c r="B24" s="116" t="s">
        <v>210</v>
      </c>
      <c r="C24" s="66"/>
      <c r="D24" s="66"/>
      <c r="E24" s="66"/>
      <c r="F24" s="66"/>
      <c r="G24" s="66"/>
      <c r="H24" s="66"/>
      <c r="I24" s="66"/>
      <c r="J24" s="66"/>
      <c r="K24" s="66"/>
      <c r="L24" s="66"/>
      <c r="M24" s="66"/>
      <c r="N24" s="66"/>
    </row>
    <row r="25" spans="1:14" ht="15.6">
      <c r="A25" s="1176"/>
      <c r="B25" s="116" t="s">
        <v>211</v>
      </c>
      <c r="C25" s="66"/>
      <c r="D25" s="66"/>
      <c r="E25" s="66"/>
      <c r="F25" s="66"/>
      <c r="G25" s="66"/>
      <c r="H25" s="66"/>
      <c r="I25" s="66"/>
      <c r="J25" s="66"/>
      <c r="K25" s="66"/>
      <c r="L25" s="66"/>
      <c r="M25" s="66"/>
      <c r="N25" s="66"/>
    </row>
    <row r="26" spans="1:14" ht="16.2" thickBot="1">
      <c r="A26" s="1177"/>
      <c r="B26" s="113" t="s">
        <v>212</v>
      </c>
      <c r="C26" s="66"/>
      <c r="D26" s="66"/>
      <c r="E26" s="66"/>
      <c r="F26" s="66"/>
      <c r="G26" s="66"/>
      <c r="H26" s="66"/>
      <c r="I26" s="66"/>
      <c r="J26" s="66"/>
      <c r="K26" s="66"/>
      <c r="L26" s="66"/>
      <c r="M26" s="66"/>
      <c r="N26" s="66"/>
    </row>
    <row r="27" spans="1:14" ht="15.6">
      <c r="A27" s="118"/>
    </row>
    <row r="28" spans="1:14" ht="15.6">
      <c r="A28" s="70" t="s">
        <v>213</v>
      </c>
      <c r="B28" s="66"/>
      <c r="C28" s="66"/>
      <c r="D28" s="66"/>
      <c r="E28" s="66"/>
      <c r="F28" s="66"/>
      <c r="G28" s="66"/>
      <c r="H28" s="66"/>
      <c r="I28" s="66"/>
      <c r="J28" s="66"/>
      <c r="K28" s="66"/>
      <c r="L28" s="66"/>
      <c r="M28" s="66"/>
      <c r="N28" s="66"/>
    </row>
    <row r="29" spans="1:14">
      <c r="A29" s="66"/>
      <c r="B29" s="66"/>
      <c r="C29" s="66"/>
      <c r="D29" s="66"/>
      <c r="E29" s="66"/>
      <c r="F29" s="66"/>
      <c r="G29" s="66"/>
      <c r="H29" s="66"/>
      <c r="I29" s="66"/>
      <c r="J29" s="66"/>
      <c r="K29" s="66"/>
      <c r="L29" s="66"/>
      <c r="M29" s="66"/>
      <c r="N29" s="66"/>
    </row>
    <row r="30" spans="1:14" ht="15.6">
      <c r="A30" s="119" t="s">
        <v>214</v>
      </c>
      <c r="B30" s="66"/>
      <c r="C30" s="66"/>
      <c r="D30" s="66"/>
      <c r="E30" s="66"/>
      <c r="F30" s="66"/>
      <c r="G30" s="66"/>
      <c r="H30" s="66"/>
      <c r="I30" s="66"/>
      <c r="J30" s="66"/>
      <c r="K30" s="66"/>
      <c r="L30" s="66"/>
      <c r="M30" s="66"/>
      <c r="N30" s="66"/>
    </row>
    <row r="31" spans="1:14" ht="15.6">
      <c r="A31" s="119" t="s">
        <v>215</v>
      </c>
      <c r="B31" s="66"/>
      <c r="C31" s="66"/>
      <c r="D31" s="66"/>
      <c r="E31" s="66"/>
      <c r="F31" s="66"/>
      <c r="G31" s="66"/>
      <c r="H31" s="66"/>
      <c r="I31" s="66"/>
      <c r="J31" s="66"/>
      <c r="K31" s="66"/>
      <c r="L31" s="66"/>
      <c r="M31" s="66"/>
      <c r="N31" s="66"/>
    </row>
    <row r="32" spans="1:14" ht="15.6">
      <c r="A32" s="119" t="s">
        <v>216</v>
      </c>
      <c r="B32" s="66"/>
      <c r="C32" s="66"/>
      <c r="D32" s="66"/>
      <c r="E32" s="66"/>
      <c r="F32" s="66"/>
      <c r="G32" s="66"/>
      <c r="H32" s="66"/>
      <c r="I32" s="66"/>
      <c r="J32" s="66"/>
      <c r="K32" s="66"/>
      <c r="L32" s="66"/>
      <c r="M32" s="66"/>
      <c r="N32" s="66"/>
    </row>
    <row r="33" spans="1:14" ht="15.6">
      <c r="A33" s="71"/>
      <c r="B33" s="66"/>
      <c r="C33" s="66"/>
      <c r="D33" s="66"/>
      <c r="E33" s="66"/>
      <c r="F33" s="66"/>
      <c r="G33" s="66"/>
      <c r="H33" s="66"/>
      <c r="I33" s="66"/>
      <c r="J33" s="66"/>
      <c r="K33" s="66"/>
      <c r="L33" s="66"/>
      <c r="M33" s="66"/>
      <c r="N33" s="66"/>
    </row>
    <row r="34" spans="1:14" ht="15.6">
      <c r="A34" s="108" t="s">
        <v>217</v>
      </c>
      <c r="B34" s="66"/>
      <c r="C34" s="66"/>
      <c r="D34" s="66"/>
      <c r="E34" s="66"/>
      <c r="F34" s="66"/>
      <c r="G34" s="66"/>
      <c r="H34" s="66"/>
      <c r="I34" s="66"/>
      <c r="J34" s="66"/>
      <c r="K34" s="66"/>
      <c r="L34" s="66"/>
      <c r="M34" s="66"/>
      <c r="N34" s="66"/>
    </row>
    <row r="35" spans="1:14" ht="15.6">
      <c r="A35" s="107" t="s">
        <v>24</v>
      </c>
    </row>
  </sheetData>
  <mergeCells count="1">
    <mergeCell ref="A22:A26"/>
  </mergeCell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D41EE-D29B-48D4-9F21-C7EB746F8FB9}">
  <sheetPr codeName="Sheet21"/>
  <dimension ref="A1:N34"/>
  <sheetViews>
    <sheetView topLeftCell="A26" workbookViewId="0"/>
  </sheetViews>
  <sheetFormatPr defaultColWidth="8.77734375" defaultRowHeight="14.4"/>
  <cols>
    <col min="1" max="1" width="37.77734375" style="67" customWidth="1"/>
    <col min="2" max="2" width="25.5546875" style="67" customWidth="1"/>
    <col min="3" max="16384" width="8.77734375" style="67"/>
  </cols>
  <sheetData>
    <row r="1" spans="1:14" ht="17.399999999999999">
      <c r="A1" s="65" t="s">
        <v>189</v>
      </c>
      <c r="B1" s="66"/>
      <c r="C1" s="66"/>
      <c r="D1" s="66"/>
      <c r="E1" s="66"/>
      <c r="F1" s="66"/>
      <c r="G1" s="66"/>
      <c r="H1" s="66"/>
      <c r="I1" s="66"/>
      <c r="J1" s="66"/>
      <c r="K1" s="66"/>
      <c r="L1" s="66"/>
      <c r="M1" s="66"/>
      <c r="N1" s="66"/>
    </row>
    <row r="2" spans="1:14" ht="15.6">
      <c r="A2" s="68" t="s">
        <v>190</v>
      </c>
      <c r="B2" s="66"/>
      <c r="C2" s="66"/>
      <c r="D2" s="66"/>
      <c r="E2" s="66"/>
      <c r="F2" s="66"/>
      <c r="G2" s="66"/>
      <c r="H2" s="66"/>
      <c r="I2" s="66"/>
      <c r="J2" s="66"/>
      <c r="K2" s="66"/>
      <c r="L2" s="66"/>
      <c r="M2" s="66"/>
      <c r="N2" s="66"/>
    </row>
    <row r="3" spans="1:14" ht="15.6">
      <c r="A3" s="68" t="s">
        <v>191</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192</v>
      </c>
      <c r="B5" s="66"/>
      <c r="C5" s="66"/>
      <c r="D5" s="66"/>
      <c r="E5" s="66"/>
      <c r="F5" s="66"/>
      <c r="G5" s="66"/>
      <c r="H5" s="66"/>
      <c r="I5" s="66"/>
      <c r="J5" s="66"/>
      <c r="K5" s="66"/>
      <c r="L5" s="66"/>
      <c r="M5" s="66"/>
      <c r="N5" s="66"/>
    </row>
    <row r="6" spans="1:14">
      <c r="A6" s="66"/>
      <c r="B6" s="66"/>
      <c r="C6" s="66"/>
      <c r="D6" s="66"/>
      <c r="E6" s="66"/>
      <c r="F6" s="66"/>
      <c r="G6" s="66"/>
      <c r="H6" s="66"/>
      <c r="I6" s="66"/>
      <c r="J6" s="66"/>
      <c r="K6" s="66"/>
      <c r="L6" s="66"/>
      <c r="M6" s="66"/>
      <c r="N6" s="66"/>
    </row>
    <row r="7" spans="1:14" ht="15.6">
      <c r="A7" s="109" t="s">
        <v>193</v>
      </c>
      <c r="B7" s="66"/>
      <c r="C7" s="66"/>
      <c r="D7" s="66"/>
      <c r="E7" s="66"/>
      <c r="F7" s="66"/>
      <c r="G7" s="66"/>
      <c r="H7" s="66"/>
      <c r="I7" s="66"/>
      <c r="J7" s="66"/>
      <c r="K7" s="66"/>
      <c r="L7" s="66"/>
      <c r="M7" s="66"/>
      <c r="N7" s="66"/>
    </row>
    <row r="8" spans="1:14" ht="15.6">
      <c r="A8" s="109" t="s">
        <v>194</v>
      </c>
      <c r="B8" s="66"/>
      <c r="C8" s="66"/>
      <c r="D8" s="66"/>
      <c r="E8" s="66"/>
      <c r="F8" s="66"/>
      <c r="G8" s="66"/>
      <c r="H8" s="66"/>
      <c r="I8" s="66"/>
      <c r="J8" s="66"/>
      <c r="K8" s="66"/>
      <c r="L8" s="66"/>
      <c r="M8" s="66"/>
      <c r="N8" s="66"/>
    </row>
    <row r="9" spans="1:14" ht="15.6">
      <c r="A9" s="109" t="s">
        <v>195</v>
      </c>
      <c r="B9" s="66"/>
      <c r="C9" s="66"/>
      <c r="D9" s="66"/>
      <c r="E9" s="66"/>
      <c r="F9" s="66"/>
      <c r="G9" s="66"/>
      <c r="H9" s="66"/>
      <c r="I9" s="66"/>
      <c r="J9" s="66"/>
      <c r="K9" s="66"/>
      <c r="L9" s="66"/>
      <c r="M9" s="66"/>
      <c r="N9" s="66"/>
    </row>
    <row r="10" spans="1:14" ht="15.6">
      <c r="A10" s="109" t="s">
        <v>196</v>
      </c>
      <c r="B10" s="66"/>
      <c r="C10" s="66"/>
      <c r="D10" s="66"/>
      <c r="E10" s="66"/>
      <c r="F10" s="66"/>
      <c r="G10" s="66"/>
      <c r="H10" s="66"/>
      <c r="I10" s="66"/>
      <c r="J10" s="66"/>
      <c r="K10" s="66"/>
      <c r="L10" s="66"/>
      <c r="M10" s="66"/>
      <c r="N10" s="66"/>
    </row>
    <row r="11" spans="1:14" ht="15.6">
      <c r="A11" s="109" t="s">
        <v>197</v>
      </c>
      <c r="B11" s="66"/>
      <c r="C11" s="66"/>
      <c r="D11" s="66"/>
      <c r="E11" s="66"/>
      <c r="F11" s="66"/>
      <c r="G11" s="66"/>
      <c r="H11" s="66"/>
      <c r="I11" s="66"/>
      <c r="J11" s="66"/>
      <c r="K11" s="66"/>
      <c r="L11" s="66"/>
      <c r="M11" s="66"/>
      <c r="N11" s="66"/>
    </row>
    <row r="12" spans="1:14">
      <c r="A12" s="66"/>
      <c r="B12" s="66"/>
      <c r="C12" s="66"/>
      <c r="D12" s="66"/>
      <c r="E12" s="66"/>
      <c r="F12" s="66"/>
      <c r="G12" s="66"/>
      <c r="H12" s="66"/>
      <c r="I12" s="66"/>
      <c r="J12" s="66"/>
      <c r="K12" s="66"/>
      <c r="L12" s="66"/>
      <c r="M12" s="66"/>
      <c r="N12" s="66"/>
    </row>
    <row r="13" spans="1:14" ht="15.6">
      <c r="A13" s="70" t="s">
        <v>198</v>
      </c>
      <c r="B13" s="66"/>
      <c r="C13" s="66"/>
      <c r="D13" s="66"/>
      <c r="E13" s="66"/>
      <c r="F13" s="66"/>
      <c r="G13" s="66"/>
      <c r="H13" s="66"/>
      <c r="I13" s="66"/>
      <c r="J13" s="66"/>
      <c r="K13" s="66"/>
      <c r="L13" s="66"/>
      <c r="M13" s="66"/>
      <c r="N13" s="66"/>
    </row>
    <row r="14" spans="1:14" ht="16.2" thickBot="1">
      <c r="A14" s="108"/>
      <c r="B14" s="66"/>
      <c r="C14" s="66"/>
      <c r="D14" s="66"/>
      <c r="E14" s="66"/>
      <c r="F14" s="66"/>
      <c r="G14" s="66"/>
      <c r="H14" s="66"/>
      <c r="I14" s="66"/>
      <c r="J14" s="66"/>
      <c r="K14" s="66"/>
      <c r="L14" s="66"/>
      <c r="M14" s="66"/>
      <c r="N14" s="66"/>
    </row>
    <row r="15" spans="1:14" ht="15.6" customHeight="1" thickBot="1">
      <c r="A15" s="110" t="s">
        <v>199</v>
      </c>
      <c r="B15" s="111">
        <v>100000</v>
      </c>
      <c r="C15" s="66"/>
      <c r="D15" s="66"/>
      <c r="E15" s="66"/>
      <c r="F15" s="66"/>
      <c r="G15" s="66"/>
      <c r="H15" s="66"/>
      <c r="I15" s="66"/>
      <c r="J15" s="66"/>
      <c r="K15" s="66"/>
      <c r="L15" s="66"/>
      <c r="M15" s="66"/>
      <c r="N15" s="66"/>
    </row>
    <row r="16" spans="1:14" ht="15.6" customHeight="1" thickBot="1">
      <c r="A16" s="112" t="s">
        <v>200</v>
      </c>
      <c r="B16" s="113" t="s">
        <v>201</v>
      </c>
      <c r="C16" s="66"/>
      <c r="D16" s="66"/>
      <c r="E16" s="66"/>
      <c r="F16" s="66"/>
      <c r="G16" s="66"/>
      <c r="H16" s="66"/>
      <c r="I16" s="66"/>
      <c r="J16" s="66"/>
      <c r="K16" s="66"/>
      <c r="L16" s="66"/>
      <c r="M16" s="66"/>
      <c r="N16" s="66"/>
    </row>
    <row r="17" spans="1:14" ht="15.6" customHeight="1" thickBot="1">
      <c r="A17" s="112" t="s">
        <v>202</v>
      </c>
      <c r="B17" s="114">
        <v>0.02</v>
      </c>
      <c r="C17" s="66"/>
      <c r="D17" s="66"/>
      <c r="E17" s="66"/>
      <c r="F17" s="66"/>
      <c r="G17" s="66"/>
      <c r="H17" s="66"/>
      <c r="I17" s="66"/>
      <c r="J17" s="66"/>
      <c r="K17" s="66"/>
      <c r="L17" s="66"/>
      <c r="M17" s="66"/>
      <c r="N17" s="66"/>
    </row>
    <row r="18" spans="1:14" ht="15.6" customHeight="1" thickBot="1">
      <c r="A18" s="112" t="s">
        <v>203</v>
      </c>
      <c r="B18" s="115">
        <v>0.04</v>
      </c>
      <c r="C18" s="66"/>
      <c r="D18" s="66"/>
      <c r="E18" s="66"/>
      <c r="F18" s="66"/>
      <c r="G18" s="66"/>
      <c r="H18" s="66"/>
      <c r="I18" s="66"/>
      <c r="J18" s="66"/>
      <c r="K18" s="66"/>
      <c r="L18" s="66"/>
      <c r="M18" s="66"/>
      <c r="N18" s="66"/>
    </row>
    <row r="19" spans="1:14" ht="15.6" customHeight="1" thickBot="1">
      <c r="A19" s="112" t="s">
        <v>204</v>
      </c>
      <c r="B19" s="113">
        <v>50</v>
      </c>
      <c r="C19" s="66"/>
      <c r="D19" s="66"/>
      <c r="E19" s="66"/>
      <c r="F19" s="66"/>
      <c r="G19" s="66"/>
      <c r="H19" s="66"/>
      <c r="I19" s="66"/>
      <c r="J19" s="66"/>
      <c r="K19" s="66"/>
      <c r="L19" s="66"/>
      <c r="M19" s="66"/>
      <c r="N19" s="66"/>
    </row>
    <row r="20" spans="1:14" ht="16.2" thickBot="1">
      <c r="A20" s="112" t="s">
        <v>205</v>
      </c>
      <c r="B20" s="114">
        <v>0.03</v>
      </c>
      <c r="C20" s="66"/>
      <c r="D20" s="66"/>
      <c r="E20" s="66"/>
      <c r="F20" s="66"/>
      <c r="G20" s="66"/>
      <c r="H20" s="66"/>
      <c r="I20" s="66"/>
      <c r="J20" s="66"/>
      <c r="K20" s="66"/>
      <c r="L20" s="66"/>
      <c r="M20" s="66"/>
      <c r="N20" s="66"/>
    </row>
    <row r="21" spans="1:14" ht="31.8" thickBot="1">
      <c r="A21" s="112" t="s">
        <v>206</v>
      </c>
      <c r="B21" s="114">
        <v>3.5000000000000003E-2</v>
      </c>
      <c r="C21" s="66"/>
      <c r="D21" s="66"/>
      <c r="E21" s="66"/>
      <c r="F21" s="66"/>
      <c r="G21" s="66"/>
      <c r="H21" s="66"/>
      <c r="I21" s="66"/>
      <c r="J21" s="66"/>
      <c r="K21" s="66"/>
      <c r="L21" s="66"/>
      <c r="M21" s="66"/>
      <c r="N21" s="66"/>
    </row>
    <row r="22" spans="1:14" ht="15.6">
      <c r="A22" s="1175" t="s">
        <v>207</v>
      </c>
      <c r="B22" s="116" t="s">
        <v>208</v>
      </c>
      <c r="C22" s="66"/>
      <c r="D22" s="66"/>
      <c r="E22" s="66"/>
      <c r="F22" s="66"/>
      <c r="G22" s="66"/>
      <c r="H22" s="66"/>
      <c r="I22" s="66"/>
      <c r="J22" s="66"/>
      <c r="K22" s="66"/>
      <c r="L22" s="66"/>
      <c r="M22" s="66"/>
      <c r="N22" s="66"/>
    </row>
    <row r="23" spans="1:14" ht="15.6">
      <c r="A23" s="1176"/>
      <c r="B23" s="116" t="s">
        <v>209</v>
      </c>
      <c r="C23" s="66"/>
      <c r="D23" s="66"/>
      <c r="E23" s="66"/>
      <c r="F23" s="66"/>
      <c r="G23" s="66"/>
      <c r="H23" s="66"/>
      <c r="I23" s="66"/>
      <c r="J23" s="66"/>
      <c r="K23" s="66"/>
      <c r="L23" s="66"/>
      <c r="M23" s="66"/>
      <c r="N23" s="66"/>
    </row>
    <row r="24" spans="1:14" ht="15.6">
      <c r="A24" s="1176"/>
      <c r="B24" s="116" t="s">
        <v>210</v>
      </c>
      <c r="C24" s="66"/>
      <c r="D24" s="66"/>
      <c r="E24" s="66"/>
      <c r="F24" s="66"/>
      <c r="G24" s="66"/>
      <c r="H24" s="66"/>
      <c r="I24" s="66"/>
      <c r="J24" s="66"/>
      <c r="K24" s="66"/>
      <c r="L24" s="66"/>
      <c r="M24" s="66"/>
      <c r="N24" s="66"/>
    </row>
    <row r="25" spans="1:14" ht="15.6">
      <c r="A25" s="1176"/>
      <c r="B25" s="116" t="s">
        <v>211</v>
      </c>
      <c r="C25" s="66"/>
      <c r="D25" s="66"/>
      <c r="E25" s="66"/>
      <c r="F25" s="66"/>
      <c r="G25" s="66"/>
      <c r="H25" s="66"/>
      <c r="I25" s="66"/>
      <c r="J25" s="66"/>
      <c r="K25" s="66"/>
      <c r="L25" s="66"/>
      <c r="M25" s="66"/>
      <c r="N25" s="66"/>
    </row>
    <row r="26" spans="1:14" ht="16.2" thickBot="1">
      <c r="A26" s="1177"/>
      <c r="B26" s="113" t="s">
        <v>212</v>
      </c>
      <c r="C26" s="66"/>
      <c r="D26" s="66"/>
      <c r="E26" s="66"/>
      <c r="F26" s="66"/>
      <c r="G26" s="66"/>
      <c r="H26" s="66"/>
      <c r="I26" s="66"/>
      <c r="J26" s="66"/>
      <c r="K26" s="66"/>
      <c r="L26" s="66"/>
      <c r="M26" s="66"/>
      <c r="N26" s="66"/>
    </row>
    <row r="27" spans="1:14" ht="15.6">
      <c r="A27" s="118"/>
    </row>
    <row r="30" spans="1:14" ht="15.6">
      <c r="A30" s="70" t="s">
        <v>218</v>
      </c>
      <c r="B30" s="66"/>
      <c r="C30" s="66"/>
      <c r="D30" s="66"/>
      <c r="E30" s="66"/>
      <c r="F30" s="66"/>
      <c r="G30" s="66"/>
      <c r="H30" s="66"/>
      <c r="I30" s="66"/>
      <c r="J30" s="66"/>
      <c r="K30" s="66"/>
      <c r="L30" s="66"/>
      <c r="M30" s="66"/>
      <c r="N30" s="66"/>
    </row>
    <row r="31" spans="1:14" ht="15.6">
      <c r="A31" s="71"/>
      <c r="B31" s="66"/>
      <c r="C31" s="66"/>
      <c r="D31" s="66"/>
      <c r="E31" s="66"/>
      <c r="F31" s="66"/>
      <c r="G31" s="66"/>
      <c r="H31" s="66"/>
      <c r="I31" s="66"/>
      <c r="J31" s="66"/>
      <c r="K31" s="66"/>
      <c r="L31" s="66"/>
      <c r="M31" s="66"/>
      <c r="N31" s="66"/>
    </row>
    <row r="32" spans="1:14" ht="15.6">
      <c r="A32" s="70" t="s">
        <v>219</v>
      </c>
      <c r="B32" s="66"/>
      <c r="C32" s="66"/>
      <c r="D32" s="66"/>
      <c r="E32" s="66"/>
      <c r="F32" s="66"/>
      <c r="G32" s="66"/>
      <c r="H32" s="66"/>
      <c r="I32" s="66"/>
      <c r="J32" s="66"/>
      <c r="K32" s="66"/>
      <c r="L32" s="66"/>
      <c r="M32" s="66"/>
      <c r="N32" s="66"/>
    </row>
    <row r="33" spans="1:1" ht="15.6">
      <c r="A33" s="120" t="s">
        <v>24</v>
      </c>
    </row>
    <row r="34" spans="1:1" ht="15.6">
      <c r="A34" s="120"/>
    </row>
  </sheetData>
  <mergeCells count="1">
    <mergeCell ref="A22:A26"/>
  </mergeCell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0D704-CA17-4DA1-ABE7-29D195032359}">
  <sheetPr codeName="Sheet22"/>
  <dimension ref="A1:N33"/>
  <sheetViews>
    <sheetView topLeftCell="A22" workbookViewId="0"/>
  </sheetViews>
  <sheetFormatPr defaultColWidth="8.77734375" defaultRowHeight="14.4"/>
  <cols>
    <col min="1" max="1" width="37.77734375" style="67" customWidth="1"/>
    <col min="2" max="2" width="25.5546875" style="67" customWidth="1"/>
    <col min="3" max="16384" width="8.77734375" style="67"/>
  </cols>
  <sheetData>
    <row r="1" spans="1:14" ht="17.399999999999999">
      <c r="A1" s="65" t="s">
        <v>189</v>
      </c>
      <c r="B1" s="66"/>
      <c r="C1" s="66"/>
      <c r="D1" s="66"/>
      <c r="E1" s="66"/>
      <c r="F1" s="66"/>
      <c r="G1" s="66"/>
      <c r="H1" s="66"/>
      <c r="I1" s="66"/>
      <c r="J1" s="66"/>
      <c r="K1" s="66"/>
      <c r="L1" s="66"/>
      <c r="M1" s="66"/>
      <c r="N1" s="66"/>
    </row>
    <row r="2" spans="1:14" ht="15.6">
      <c r="A2" s="68" t="s">
        <v>190</v>
      </c>
      <c r="B2" s="66"/>
      <c r="C2" s="66"/>
      <c r="D2" s="66"/>
      <c r="E2" s="66"/>
      <c r="F2" s="66"/>
      <c r="G2" s="66"/>
      <c r="H2" s="66"/>
      <c r="I2" s="66"/>
      <c r="J2" s="66"/>
      <c r="K2" s="66"/>
      <c r="L2" s="66"/>
      <c r="M2" s="66"/>
      <c r="N2" s="66"/>
    </row>
    <row r="3" spans="1:14" ht="15.6">
      <c r="A3" s="68" t="s">
        <v>191</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192</v>
      </c>
      <c r="B5" s="66"/>
      <c r="C5" s="66"/>
      <c r="D5" s="66"/>
      <c r="E5" s="66"/>
      <c r="F5" s="66"/>
      <c r="G5" s="66"/>
      <c r="H5" s="66"/>
      <c r="I5" s="66"/>
      <c r="J5" s="66"/>
      <c r="K5" s="66"/>
      <c r="L5" s="66"/>
      <c r="M5" s="66"/>
      <c r="N5" s="66"/>
    </row>
    <row r="6" spans="1:14">
      <c r="A6" s="66"/>
      <c r="B6" s="66"/>
      <c r="C6" s="66"/>
      <c r="D6" s="66"/>
      <c r="E6" s="66"/>
      <c r="F6" s="66"/>
      <c r="G6" s="66"/>
      <c r="H6" s="66"/>
      <c r="I6" s="66"/>
      <c r="J6" s="66"/>
      <c r="K6" s="66"/>
      <c r="L6" s="66"/>
      <c r="M6" s="66"/>
      <c r="N6" s="66"/>
    </row>
    <row r="7" spans="1:14" ht="15.6">
      <c r="A7" s="109" t="s">
        <v>193</v>
      </c>
      <c r="B7" s="66"/>
      <c r="C7" s="66"/>
      <c r="D7" s="66"/>
      <c r="E7" s="66"/>
      <c r="F7" s="66"/>
      <c r="G7" s="66"/>
      <c r="H7" s="66"/>
      <c r="I7" s="66"/>
      <c r="J7" s="66"/>
      <c r="K7" s="66"/>
      <c r="L7" s="66"/>
      <c r="M7" s="66"/>
      <c r="N7" s="66"/>
    </row>
    <row r="8" spans="1:14" ht="15.6">
      <c r="A8" s="109" t="s">
        <v>194</v>
      </c>
      <c r="B8" s="66"/>
      <c r="C8" s="66"/>
      <c r="D8" s="66"/>
      <c r="E8" s="66"/>
      <c r="F8" s="66"/>
      <c r="G8" s="66"/>
      <c r="H8" s="66"/>
      <c r="I8" s="66"/>
      <c r="J8" s="66"/>
      <c r="K8" s="66"/>
      <c r="L8" s="66"/>
      <c r="M8" s="66"/>
      <c r="N8" s="66"/>
    </row>
    <row r="9" spans="1:14" ht="15.6">
      <c r="A9" s="109" t="s">
        <v>195</v>
      </c>
      <c r="B9" s="66"/>
      <c r="C9" s="66"/>
      <c r="D9" s="66"/>
      <c r="E9" s="66"/>
      <c r="F9" s="66"/>
      <c r="G9" s="66"/>
      <c r="H9" s="66"/>
      <c r="I9" s="66"/>
      <c r="J9" s="66"/>
      <c r="K9" s="66"/>
      <c r="L9" s="66"/>
      <c r="M9" s="66"/>
      <c r="N9" s="66"/>
    </row>
    <row r="10" spans="1:14" ht="15.6">
      <c r="A10" s="109" t="s">
        <v>196</v>
      </c>
      <c r="B10" s="66"/>
      <c r="C10" s="66"/>
      <c r="D10" s="66"/>
      <c r="E10" s="66"/>
      <c r="F10" s="66"/>
      <c r="G10" s="66"/>
      <c r="H10" s="66"/>
      <c r="I10" s="66"/>
      <c r="J10" s="66"/>
      <c r="K10" s="66"/>
      <c r="L10" s="66"/>
      <c r="M10" s="66"/>
      <c r="N10" s="66"/>
    </row>
    <row r="11" spans="1:14" ht="15.6">
      <c r="A11" s="109" t="s">
        <v>197</v>
      </c>
      <c r="B11" s="66"/>
      <c r="C11" s="66"/>
      <c r="D11" s="66"/>
      <c r="E11" s="66"/>
      <c r="F11" s="66"/>
      <c r="G11" s="66"/>
      <c r="H11" s="66"/>
      <c r="I11" s="66"/>
      <c r="J11" s="66"/>
      <c r="K11" s="66"/>
      <c r="L11" s="66"/>
      <c r="M11" s="66"/>
      <c r="N11" s="66"/>
    </row>
    <row r="12" spans="1:14">
      <c r="A12" s="66"/>
      <c r="B12" s="66"/>
      <c r="C12" s="66"/>
      <c r="D12" s="66"/>
      <c r="E12" s="66"/>
      <c r="F12" s="66"/>
      <c r="G12" s="66"/>
      <c r="H12" s="66"/>
      <c r="I12" s="66"/>
      <c r="J12" s="66"/>
      <c r="K12" s="66"/>
      <c r="L12" s="66"/>
      <c r="M12" s="66"/>
      <c r="N12" s="66"/>
    </row>
    <row r="13" spans="1:14" ht="15.6">
      <c r="A13" s="70" t="s">
        <v>198</v>
      </c>
      <c r="B13" s="66"/>
      <c r="C13" s="66"/>
      <c r="D13" s="66"/>
      <c r="E13" s="66"/>
      <c r="F13" s="66"/>
      <c r="G13" s="66"/>
      <c r="H13" s="66"/>
      <c r="I13" s="66"/>
      <c r="J13" s="66"/>
      <c r="K13" s="66"/>
      <c r="L13" s="66"/>
      <c r="M13" s="66"/>
      <c r="N13" s="66"/>
    </row>
    <row r="14" spans="1:14" ht="16.2" thickBot="1">
      <c r="A14" s="108"/>
      <c r="B14" s="66"/>
      <c r="C14" s="66"/>
      <c r="D14" s="66"/>
      <c r="E14" s="66"/>
      <c r="F14" s="66"/>
      <c r="G14" s="66"/>
      <c r="H14" s="66"/>
      <c r="I14" s="66"/>
      <c r="J14" s="66"/>
      <c r="K14" s="66"/>
      <c r="L14" s="66"/>
      <c r="M14" s="66"/>
      <c r="N14" s="66"/>
    </row>
    <row r="15" spans="1:14" ht="15.6" customHeight="1" thickBot="1">
      <c r="A15" s="110" t="s">
        <v>199</v>
      </c>
      <c r="B15" s="111">
        <v>100000</v>
      </c>
      <c r="C15" s="66"/>
      <c r="D15" s="66"/>
      <c r="E15" s="66"/>
      <c r="F15" s="66"/>
      <c r="G15" s="66"/>
      <c r="H15" s="66"/>
      <c r="I15" s="66"/>
      <c r="J15" s="66"/>
      <c r="K15" s="66"/>
      <c r="L15" s="66"/>
      <c r="M15" s="66"/>
      <c r="N15" s="66"/>
    </row>
    <row r="16" spans="1:14" ht="15.6" customHeight="1" thickBot="1">
      <c r="A16" s="112" t="s">
        <v>200</v>
      </c>
      <c r="B16" s="113" t="s">
        <v>201</v>
      </c>
      <c r="C16" s="66"/>
      <c r="D16" s="66"/>
      <c r="E16" s="66"/>
      <c r="F16" s="66"/>
      <c r="G16" s="66"/>
      <c r="H16" s="66"/>
      <c r="I16" s="66"/>
      <c r="J16" s="66"/>
      <c r="K16" s="66"/>
      <c r="L16" s="66"/>
      <c r="M16" s="66"/>
      <c r="N16" s="66"/>
    </row>
    <row r="17" spans="1:14" ht="15.6" customHeight="1" thickBot="1">
      <c r="A17" s="112" t="s">
        <v>202</v>
      </c>
      <c r="B17" s="114">
        <v>0.02</v>
      </c>
      <c r="C17" s="66"/>
      <c r="D17" s="66"/>
      <c r="E17" s="66"/>
      <c r="F17" s="66"/>
      <c r="G17" s="66"/>
      <c r="H17" s="66"/>
      <c r="I17" s="66"/>
      <c r="J17" s="66"/>
      <c r="K17" s="66"/>
      <c r="L17" s="66"/>
      <c r="M17" s="66"/>
      <c r="N17" s="66"/>
    </row>
    <row r="18" spans="1:14" ht="15.6" customHeight="1" thickBot="1">
      <c r="A18" s="112" t="s">
        <v>203</v>
      </c>
      <c r="B18" s="115">
        <v>0.04</v>
      </c>
      <c r="C18" s="66"/>
      <c r="D18" s="66"/>
      <c r="E18" s="66"/>
      <c r="F18" s="66"/>
      <c r="G18" s="66"/>
      <c r="H18" s="66"/>
      <c r="I18" s="66"/>
      <c r="J18" s="66"/>
      <c r="K18" s="66"/>
      <c r="L18" s="66"/>
      <c r="M18" s="66"/>
      <c r="N18" s="66"/>
    </row>
    <row r="19" spans="1:14" ht="15.6" customHeight="1" thickBot="1">
      <c r="A19" s="112" t="s">
        <v>204</v>
      </c>
      <c r="B19" s="113">
        <v>50</v>
      </c>
      <c r="C19" s="66"/>
      <c r="D19" s="66"/>
      <c r="E19" s="66"/>
      <c r="F19" s="66"/>
      <c r="G19" s="66"/>
      <c r="H19" s="66"/>
      <c r="I19" s="66"/>
      <c r="J19" s="66"/>
      <c r="K19" s="66"/>
      <c r="L19" s="66"/>
      <c r="M19" s="66"/>
      <c r="N19" s="66"/>
    </row>
    <row r="20" spans="1:14" ht="16.2" thickBot="1">
      <c r="A20" s="112" t="s">
        <v>205</v>
      </c>
      <c r="B20" s="114">
        <v>0.03</v>
      </c>
      <c r="C20" s="66"/>
      <c r="D20" s="66"/>
      <c r="E20" s="66"/>
      <c r="F20" s="66"/>
      <c r="G20" s="66"/>
      <c r="H20" s="66"/>
      <c r="I20" s="66"/>
      <c r="J20" s="66"/>
      <c r="K20" s="66"/>
      <c r="L20" s="66"/>
      <c r="M20" s="66"/>
      <c r="N20" s="66"/>
    </row>
    <row r="21" spans="1:14" ht="31.8" thickBot="1">
      <c r="A21" s="112" t="s">
        <v>206</v>
      </c>
      <c r="B21" s="114">
        <v>3.5000000000000003E-2</v>
      </c>
      <c r="C21" s="66"/>
      <c r="D21" s="66"/>
      <c r="E21" s="66"/>
      <c r="F21" s="66"/>
      <c r="G21" s="66"/>
      <c r="H21" s="66"/>
      <c r="I21" s="66"/>
      <c r="J21" s="66"/>
      <c r="K21" s="66"/>
      <c r="L21" s="66"/>
      <c r="M21" s="66"/>
      <c r="N21" s="66"/>
    </row>
    <row r="22" spans="1:14" ht="15.6">
      <c r="A22" s="1175" t="s">
        <v>207</v>
      </c>
      <c r="B22" s="116" t="s">
        <v>208</v>
      </c>
      <c r="C22" s="66"/>
      <c r="D22" s="66"/>
      <c r="E22" s="66"/>
      <c r="F22" s="66"/>
      <c r="G22" s="66"/>
      <c r="H22" s="66"/>
      <c r="I22" s="66"/>
      <c r="J22" s="66"/>
      <c r="K22" s="66"/>
      <c r="L22" s="66"/>
      <c r="M22" s="66"/>
      <c r="N22" s="66"/>
    </row>
    <row r="23" spans="1:14" ht="15.6">
      <c r="A23" s="1176"/>
      <c r="B23" s="116" t="s">
        <v>209</v>
      </c>
      <c r="C23" s="66"/>
      <c r="D23" s="66"/>
      <c r="E23" s="66"/>
      <c r="F23" s="66"/>
      <c r="G23" s="66"/>
      <c r="H23" s="66"/>
      <c r="I23" s="66"/>
      <c r="J23" s="66"/>
      <c r="K23" s="66"/>
      <c r="L23" s="66"/>
      <c r="M23" s="66"/>
      <c r="N23" s="66"/>
    </row>
    <row r="24" spans="1:14" ht="15.6">
      <c r="A24" s="1176"/>
      <c r="B24" s="116" t="s">
        <v>210</v>
      </c>
      <c r="C24" s="66"/>
      <c r="D24" s="66"/>
      <c r="E24" s="66"/>
      <c r="F24" s="66"/>
      <c r="G24" s="66"/>
      <c r="H24" s="66"/>
      <c r="I24" s="66"/>
      <c r="J24" s="66"/>
      <c r="K24" s="66"/>
      <c r="L24" s="66"/>
      <c r="M24" s="66"/>
      <c r="N24" s="66"/>
    </row>
    <row r="25" spans="1:14" ht="15.6">
      <c r="A25" s="1176"/>
      <c r="B25" s="116" t="s">
        <v>211</v>
      </c>
      <c r="C25" s="66"/>
      <c r="D25" s="66"/>
      <c r="E25" s="66"/>
      <c r="F25" s="66"/>
      <c r="G25" s="66"/>
      <c r="H25" s="66"/>
      <c r="I25" s="66"/>
      <c r="J25" s="66"/>
      <c r="K25" s="66"/>
      <c r="L25" s="66"/>
      <c r="M25" s="66"/>
      <c r="N25" s="66"/>
    </row>
    <row r="26" spans="1:14" ht="16.2" thickBot="1">
      <c r="A26" s="1177"/>
      <c r="B26" s="113" t="s">
        <v>212</v>
      </c>
      <c r="C26" s="66"/>
      <c r="D26" s="66"/>
      <c r="E26" s="66"/>
      <c r="F26" s="66"/>
      <c r="G26" s="66"/>
      <c r="H26" s="66"/>
      <c r="I26" s="66"/>
      <c r="J26" s="66"/>
      <c r="K26" s="66"/>
      <c r="L26" s="66"/>
      <c r="M26" s="66"/>
      <c r="N26" s="66"/>
    </row>
    <row r="27" spans="1:14" ht="15.6">
      <c r="A27" s="118"/>
    </row>
    <row r="29" spans="1:14" ht="15.6">
      <c r="A29" s="70" t="s">
        <v>218</v>
      </c>
      <c r="B29" s="66"/>
      <c r="C29" s="66"/>
      <c r="D29" s="66"/>
      <c r="E29" s="66"/>
      <c r="F29" s="66"/>
      <c r="G29" s="66"/>
      <c r="H29" s="66"/>
      <c r="I29" s="66"/>
      <c r="J29" s="66"/>
      <c r="K29" s="66"/>
      <c r="L29" s="66"/>
      <c r="M29" s="66"/>
      <c r="N29" s="66"/>
    </row>
    <row r="30" spans="1:14" ht="15.6">
      <c r="A30" s="71"/>
      <c r="B30" s="66"/>
      <c r="C30" s="66"/>
      <c r="D30" s="66"/>
      <c r="E30" s="66"/>
      <c r="F30" s="66"/>
      <c r="G30" s="66"/>
      <c r="H30" s="66"/>
      <c r="I30" s="66"/>
      <c r="J30" s="66"/>
      <c r="K30" s="66"/>
      <c r="L30" s="66"/>
      <c r="M30" s="66"/>
      <c r="N30" s="66"/>
    </row>
    <row r="31" spans="1:14" ht="15.6">
      <c r="A31" s="70" t="s">
        <v>220</v>
      </c>
      <c r="B31" s="66"/>
      <c r="C31" s="66"/>
      <c r="D31" s="66"/>
      <c r="E31" s="66"/>
      <c r="F31" s="66"/>
      <c r="G31" s="66"/>
      <c r="H31" s="66"/>
      <c r="I31" s="66"/>
      <c r="J31" s="66"/>
      <c r="K31" s="66"/>
      <c r="L31" s="66"/>
      <c r="M31" s="66"/>
      <c r="N31" s="66"/>
    </row>
    <row r="32" spans="1:14" ht="15.6">
      <c r="A32" s="120" t="s">
        <v>24</v>
      </c>
    </row>
    <row r="33" spans="1:1" ht="15.6">
      <c r="A33" s="120"/>
    </row>
  </sheetData>
  <mergeCells count="1">
    <mergeCell ref="A22:A26"/>
  </mergeCell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9D417-3FDF-40CA-950D-A4DA4B7032DB}">
  <sheetPr codeName="Sheet23"/>
  <dimension ref="A1:N33"/>
  <sheetViews>
    <sheetView topLeftCell="A16" workbookViewId="0"/>
  </sheetViews>
  <sheetFormatPr defaultColWidth="8.77734375" defaultRowHeight="14.4"/>
  <cols>
    <col min="1" max="1" width="37.77734375" style="67" customWidth="1"/>
    <col min="2" max="2" width="25.5546875" style="67" customWidth="1"/>
    <col min="3" max="16384" width="8.77734375" style="67"/>
  </cols>
  <sheetData>
    <row r="1" spans="1:14" ht="17.399999999999999">
      <c r="A1" s="65" t="s">
        <v>189</v>
      </c>
      <c r="B1" s="66"/>
      <c r="C1" s="66"/>
      <c r="D1" s="66"/>
      <c r="E1" s="66"/>
      <c r="F1" s="66"/>
      <c r="G1" s="66"/>
      <c r="H1" s="66"/>
      <c r="I1" s="66"/>
      <c r="J1" s="66"/>
      <c r="K1" s="66"/>
      <c r="L1" s="66"/>
      <c r="M1" s="66"/>
      <c r="N1" s="66"/>
    </row>
    <row r="2" spans="1:14" ht="15.6">
      <c r="A2" s="68" t="s">
        <v>190</v>
      </c>
      <c r="B2" s="66"/>
      <c r="C2" s="66"/>
      <c r="D2" s="66"/>
      <c r="E2" s="66"/>
      <c r="F2" s="66"/>
      <c r="G2" s="66"/>
      <c r="H2" s="66"/>
      <c r="I2" s="66"/>
      <c r="J2" s="66"/>
      <c r="K2" s="66"/>
      <c r="L2" s="66"/>
      <c r="M2" s="66"/>
      <c r="N2" s="66"/>
    </row>
    <row r="3" spans="1:14" ht="15.6">
      <c r="A3" s="68" t="s">
        <v>191</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192</v>
      </c>
      <c r="B5" s="66"/>
      <c r="C5" s="66"/>
      <c r="D5" s="66"/>
      <c r="E5" s="66"/>
      <c r="F5" s="66"/>
      <c r="G5" s="66"/>
      <c r="H5" s="66"/>
      <c r="I5" s="66"/>
      <c r="J5" s="66"/>
      <c r="K5" s="66"/>
      <c r="L5" s="66"/>
      <c r="M5" s="66"/>
      <c r="N5" s="66"/>
    </row>
    <row r="6" spans="1:14">
      <c r="A6" s="66"/>
      <c r="B6" s="66"/>
      <c r="C6" s="66"/>
      <c r="D6" s="66"/>
      <c r="E6" s="66"/>
      <c r="F6" s="66"/>
      <c r="G6" s="66"/>
      <c r="H6" s="66"/>
      <c r="I6" s="66"/>
      <c r="J6" s="66"/>
      <c r="K6" s="66"/>
      <c r="L6" s="66"/>
      <c r="M6" s="66"/>
      <c r="N6" s="66"/>
    </row>
    <row r="7" spans="1:14" ht="15.6">
      <c r="A7" s="109" t="s">
        <v>193</v>
      </c>
      <c r="B7" s="66"/>
      <c r="C7" s="66"/>
      <c r="D7" s="66"/>
      <c r="E7" s="66"/>
      <c r="F7" s="66"/>
      <c r="G7" s="66"/>
      <c r="H7" s="66"/>
      <c r="I7" s="66"/>
      <c r="J7" s="66"/>
      <c r="K7" s="66"/>
      <c r="L7" s="66"/>
      <c r="M7" s="66"/>
      <c r="N7" s="66"/>
    </row>
    <row r="8" spans="1:14" ht="15.6">
      <c r="A8" s="109" t="s">
        <v>194</v>
      </c>
      <c r="B8" s="66"/>
      <c r="C8" s="66"/>
      <c r="D8" s="66"/>
      <c r="E8" s="66"/>
      <c r="F8" s="66"/>
      <c r="G8" s="66"/>
      <c r="H8" s="66"/>
      <c r="I8" s="66"/>
      <c r="J8" s="66"/>
      <c r="K8" s="66"/>
      <c r="L8" s="66"/>
      <c r="M8" s="66"/>
      <c r="N8" s="66"/>
    </row>
    <row r="9" spans="1:14" ht="15.6">
      <c r="A9" s="109" t="s">
        <v>195</v>
      </c>
      <c r="B9" s="66"/>
      <c r="C9" s="66"/>
      <c r="D9" s="66"/>
      <c r="E9" s="66"/>
      <c r="F9" s="66"/>
      <c r="G9" s="66"/>
      <c r="H9" s="66"/>
      <c r="I9" s="66"/>
      <c r="J9" s="66"/>
      <c r="K9" s="66"/>
      <c r="L9" s="66"/>
      <c r="M9" s="66"/>
      <c r="N9" s="66"/>
    </row>
    <row r="10" spans="1:14" ht="15.6">
      <c r="A10" s="109" t="s">
        <v>196</v>
      </c>
      <c r="B10" s="66"/>
      <c r="C10" s="66"/>
      <c r="D10" s="66"/>
      <c r="E10" s="66"/>
      <c r="F10" s="66"/>
      <c r="G10" s="66"/>
      <c r="H10" s="66"/>
      <c r="I10" s="66"/>
      <c r="J10" s="66"/>
      <c r="K10" s="66"/>
      <c r="L10" s="66"/>
      <c r="M10" s="66"/>
      <c r="N10" s="66"/>
    </row>
    <row r="11" spans="1:14" ht="15.6">
      <c r="A11" s="109" t="s">
        <v>197</v>
      </c>
      <c r="B11" s="66"/>
      <c r="C11" s="66"/>
      <c r="D11" s="66"/>
      <c r="E11" s="66"/>
      <c r="F11" s="66"/>
      <c r="G11" s="66"/>
      <c r="H11" s="66"/>
      <c r="I11" s="66"/>
      <c r="J11" s="66"/>
      <c r="K11" s="66"/>
      <c r="L11" s="66"/>
      <c r="M11" s="66"/>
      <c r="N11" s="66"/>
    </row>
    <row r="12" spans="1:14">
      <c r="A12" s="66"/>
      <c r="B12" s="66"/>
      <c r="C12" s="66"/>
      <c r="D12" s="66"/>
      <c r="E12" s="66"/>
      <c r="F12" s="66"/>
      <c r="G12" s="66"/>
      <c r="H12" s="66"/>
      <c r="I12" s="66"/>
      <c r="J12" s="66"/>
      <c r="K12" s="66"/>
      <c r="L12" s="66"/>
      <c r="M12" s="66"/>
      <c r="N12" s="66"/>
    </row>
    <row r="13" spans="1:14" ht="15.6">
      <c r="A13" s="70" t="s">
        <v>198</v>
      </c>
      <c r="B13" s="66"/>
      <c r="C13" s="66"/>
      <c r="D13" s="66"/>
      <c r="E13" s="66"/>
      <c r="F13" s="66"/>
      <c r="G13" s="66"/>
      <c r="H13" s="66"/>
      <c r="I13" s="66"/>
      <c r="J13" s="66"/>
      <c r="K13" s="66"/>
      <c r="L13" s="66"/>
      <c r="M13" s="66"/>
      <c r="N13" s="66"/>
    </row>
    <row r="14" spans="1:14" ht="16.2" thickBot="1">
      <c r="A14" s="108"/>
      <c r="B14" s="66"/>
      <c r="C14" s="66"/>
      <c r="D14" s="66"/>
      <c r="E14" s="66"/>
      <c r="F14" s="66"/>
      <c r="G14" s="66"/>
      <c r="H14" s="66"/>
      <c r="I14" s="66"/>
      <c r="J14" s="66"/>
      <c r="K14" s="66"/>
      <c r="L14" s="66"/>
      <c r="M14" s="66"/>
      <c r="N14" s="66"/>
    </row>
    <row r="15" spans="1:14" ht="15.6" customHeight="1" thickBot="1">
      <c r="A15" s="110" t="s">
        <v>199</v>
      </c>
      <c r="B15" s="111">
        <v>100000</v>
      </c>
      <c r="C15" s="66"/>
      <c r="D15" s="66"/>
      <c r="E15" s="66"/>
      <c r="F15" s="66"/>
      <c r="G15" s="66"/>
      <c r="H15" s="66"/>
      <c r="I15" s="66"/>
      <c r="J15" s="66"/>
      <c r="K15" s="66"/>
      <c r="L15" s="66"/>
      <c r="M15" s="66"/>
      <c r="N15" s="66"/>
    </row>
    <row r="16" spans="1:14" ht="15.6" customHeight="1" thickBot="1">
      <c r="A16" s="112" t="s">
        <v>200</v>
      </c>
      <c r="B16" s="113" t="s">
        <v>201</v>
      </c>
      <c r="C16" s="66"/>
      <c r="D16" s="66"/>
      <c r="E16" s="66"/>
      <c r="F16" s="66"/>
      <c r="G16" s="66"/>
      <c r="H16" s="66"/>
      <c r="I16" s="66"/>
      <c r="J16" s="66"/>
      <c r="K16" s="66"/>
      <c r="L16" s="66"/>
      <c r="M16" s="66"/>
      <c r="N16" s="66"/>
    </row>
    <row r="17" spans="1:14" ht="15.6" customHeight="1" thickBot="1">
      <c r="A17" s="112" t="s">
        <v>202</v>
      </c>
      <c r="B17" s="114">
        <v>0.02</v>
      </c>
      <c r="C17" s="66"/>
      <c r="D17" s="66"/>
      <c r="E17" s="66"/>
      <c r="F17" s="66"/>
      <c r="G17" s="66"/>
      <c r="H17" s="66"/>
      <c r="I17" s="66"/>
      <c r="J17" s="66"/>
      <c r="K17" s="66"/>
      <c r="L17" s="66"/>
      <c r="M17" s="66"/>
      <c r="N17" s="66"/>
    </row>
    <row r="18" spans="1:14" ht="15.6" customHeight="1" thickBot="1">
      <c r="A18" s="112" t="s">
        <v>203</v>
      </c>
      <c r="B18" s="115">
        <v>0.04</v>
      </c>
      <c r="C18" s="66"/>
      <c r="D18" s="66"/>
      <c r="E18" s="66"/>
      <c r="F18" s="66"/>
      <c r="G18" s="66"/>
      <c r="H18" s="66"/>
      <c r="I18" s="66"/>
      <c r="J18" s="66"/>
      <c r="K18" s="66"/>
      <c r="L18" s="66"/>
      <c r="M18" s="66"/>
      <c r="N18" s="66"/>
    </row>
    <row r="19" spans="1:14" ht="15.6" customHeight="1" thickBot="1">
      <c r="A19" s="112" t="s">
        <v>204</v>
      </c>
      <c r="B19" s="113">
        <v>50</v>
      </c>
      <c r="C19" s="66"/>
      <c r="D19" s="66"/>
      <c r="E19" s="66"/>
      <c r="F19" s="66"/>
      <c r="G19" s="66"/>
      <c r="H19" s="66"/>
      <c r="I19" s="66"/>
      <c r="J19" s="66"/>
      <c r="K19" s="66"/>
      <c r="L19" s="66"/>
      <c r="M19" s="66"/>
      <c r="N19" s="66"/>
    </row>
    <row r="20" spans="1:14" ht="16.2" thickBot="1">
      <c r="A20" s="112" t="s">
        <v>205</v>
      </c>
      <c r="B20" s="114">
        <v>0.03</v>
      </c>
      <c r="C20" s="66"/>
      <c r="D20" s="66"/>
      <c r="E20" s="66"/>
      <c r="F20" s="66"/>
      <c r="G20" s="66"/>
      <c r="H20" s="66"/>
      <c r="I20" s="66"/>
      <c r="J20" s="66"/>
      <c r="K20" s="66"/>
      <c r="L20" s="66"/>
      <c r="M20" s="66"/>
      <c r="N20" s="66"/>
    </row>
    <row r="21" spans="1:14" ht="31.8" thickBot="1">
      <c r="A21" s="112" t="s">
        <v>206</v>
      </c>
      <c r="B21" s="114">
        <v>3.5000000000000003E-2</v>
      </c>
      <c r="C21" s="66"/>
      <c r="D21" s="66"/>
      <c r="E21" s="66"/>
      <c r="F21" s="66"/>
      <c r="G21" s="66"/>
      <c r="H21" s="66"/>
      <c r="I21" s="66"/>
      <c r="J21" s="66"/>
      <c r="K21" s="66"/>
      <c r="L21" s="66"/>
      <c r="M21" s="66"/>
      <c r="N21" s="66"/>
    </row>
    <row r="22" spans="1:14" ht="15.6">
      <c r="A22" s="1175" t="s">
        <v>207</v>
      </c>
      <c r="B22" s="116" t="s">
        <v>208</v>
      </c>
      <c r="C22" s="66"/>
      <c r="D22" s="66"/>
      <c r="E22" s="66"/>
      <c r="F22" s="66"/>
      <c r="G22" s="66"/>
      <c r="H22" s="66"/>
      <c r="I22" s="66"/>
      <c r="J22" s="66"/>
      <c r="K22" s="66"/>
      <c r="L22" s="66"/>
      <c r="M22" s="66"/>
      <c r="N22" s="66"/>
    </row>
    <row r="23" spans="1:14" ht="15.6">
      <c r="A23" s="1176"/>
      <c r="B23" s="116" t="s">
        <v>209</v>
      </c>
      <c r="C23" s="66"/>
      <c r="D23" s="66"/>
      <c r="E23" s="66"/>
      <c r="F23" s="66"/>
      <c r="G23" s="66"/>
      <c r="H23" s="66"/>
      <c r="I23" s="66"/>
      <c r="J23" s="66"/>
      <c r="K23" s="66"/>
      <c r="L23" s="66"/>
      <c r="M23" s="66"/>
      <c r="N23" s="66"/>
    </row>
    <row r="24" spans="1:14" ht="15.6">
      <c r="A24" s="1176"/>
      <c r="B24" s="116" t="s">
        <v>210</v>
      </c>
      <c r="C24" s="66"/>
      <c r="D24" s="66"/>
      <c r="E24" s="66"/>
      <c r="F24" s="66"/>
      <c r="G24" s="66"/>
      <c r="H24" s="66"/>
      <c r="I24" s="66"/>
      <c r="J24" s="66"/>
      <c r="K24" s="66"/>
      <c r="L24" s="66"/>
      <c r="M24" s="66"/>
      <c r="N24" s="66"/>
    </row>
    <row r="25" spans="1:14" ht="15.6">
      <c r="A25" s="1176"/>
      <c r="B25" s="116" t="s">
        <v>211</v>
      </c>
      <c r="C25" s="66"/>
      <c r="D25" s="66"/>
      <c r="E25" s="66"/>
      <c r="F25" s="66"/>
      <c r="G25" s="66"/>
      <c r="H25" s="66"/>
      <c r="I25" s="66"/>
      <c r="J25" s="66"/>
      <c r="K25" s="66"/>
      <c r="L25" s="66"/>
      <c r="M25" s="66"/>
      <c r="N25" s="66"/>
    </row>
    <row r="26" spans="1:14" ht="16.2" thickBot="1">
      <c r="A26" s="1177"/>
      <c r="B26" s="113" t="s">
        <v>212</v>
      </c>
      <c r="C26" s="66"/>
      <c r="D26" s="66"/>
      <c r="E26" s="66"/>
      <c r="F26" s="66"/>
      <c r="G26" s="66"/>
      <c r="H26" s="66"/>
      <c r="I26" s="66"/>
      <c r="J26" s="66"/>
      <c r="K26" s="66"/>
      <c r="L26" s="66"/>
      <c r="M26" s="66"/>
      <c r="N26" s="66"/>
    </row>
    <row r="27" spans="1:14" ht="15.6">
      <c r="A27" s="118"/>
    </row>
    <row r="28" spans="1:14" ht="15.6">
      <c r="A28" s="70" t="s">
        <v>218</v>
      </c>
      <c r="B28" s="66"/>
      <c r="C28" s="66"/>
      <c r="D28" s="66"/>
      <c r="E28" s="66"/>
      <c r="F28" s="66"/>
      <c r="G28" s="66"/>
      <c r="H28" s="66"/>
      <c r="I28" s="66"/>
      <c r="J28" s="66"/>
      <c r="K28" s="66"/>
      <c r="L28" s="66"/>
      <c r="M28" s="66"/>
      <c r="N28" s="66"/>
    </row>
    <row r="29" spans="1:14" ht="15.6">
      <c r="A29" s="71"/>
      <c r="B29" s="66"/>
      <c r="C29" s="66"/>
      <c r="D29" s="66"/>
      <c r="E29" s="66"/>
      <c r="F29" s="66"/>
      <c r="G29" s="66"/>
      <c r="H29" s="66"/>
      <c r="I29" s="66"/>
      <c r="J29" s="66"/>
      <c r="K29" s="66"/>
      <c r="L29" s="66"/>
      <c r="M29" s="66"/>
      <c r="N29" s="66"/>
    </row>
    <row r="30" spans="1:14" ht="15.6">
      <c r="A30" s="70" t="s">
        <v>221</v>
      </c>
      <c r="B30" s="66"/>
      <c r="C30" s="66"/>
      <c r="D30" s="66"/>
      <c r="E30" s="66"/>
      <c r="F30" s="66"/>
      <c r="G30" s="66"/>
      <c r="H30" s="66"/>
      <c r="I30" s="66"/>
      <c r="J30" s="66"/>
      <c r="K30" s="66"/>
      <c r="L30" s="66"/>
      <c r="M30" s="66"/>
      <c r="N30" s="66"/>
    </row>
    <row r="31" spans="1:14" ht="15.6">
      <c r="A31" s="120" t="s">
        <v>24</v>
      </c>
    </row>
    <row r="32" spans="1:14" ht="15.6">
      <c r="A32" s="120"/>
    </row>
    <row r="33" spans="1:1" ht="15.6">
      <c r="A33" s="120"/>
    </row>
  </sheetData>
  <mergeCells count="1">
    <mergeCell ref="A22:A26"/>
  </mergeCell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B4E4D-6E96-4154-AE9B-2767F56E0D77}">
  <sheetPr codeName="Sheet24"/>
  <dimension ref="A1:N31"/>
  <sheetViews>
    <sheetView topLeftCell="A26" workbookViewId="0"/>
  </sheetViews>
  <sheetFormatPr defaultColWidth="8.77734375" defaultRowHeight="14.4"/>
  <cols>
    <col min="1" max="1" width="37.77734375" style="67" customWidth="1"/>
    <col min="2" max="2" width="25.5546875" style="67" customWidth="1"/>
    <col min="3" max="16384" width="8.77734375" style="67"/>
  </cols>
  <sheetData>
    <row r="1" spans="1:14" ht="17.399999999999999">
      <c r="A1" s="65" t="s">
        <v>189</v>
      </c>
      <c r="B1" s="66"/>
      <c r="C1" s="66"/>
      <c r="D1" s="66"/>
      <c r="E1" s="66"/>
      <c r="F1" s="66"/>
      <c r="G1" s="66"/>
      <c r="H1" s="66"/>
      <c r="I1" s="66"/>
      <c r="J1" s="66"/>
      <c r="K1" s="66"/>
      <c r="L1" s="66"/>
      <c r="M1" s="66"/>
      <c r="N1" s="66"/>
    </row>
    <row r="2" spans="1:14" ht="15.6">
      <c r="A2" s="68" t="s">
        <v>190</v>
      </c>
      <c r="B2" s="66"/>
      <c r="C2" s="66"/>
      <c r="D2" s="66"/>
      <c r="E2" s="66"/>
      <c r="F2" s="66"/>
      <c r="G2" s="66"/>
      <c r="H2" s="66"/>
      <c r="I2" s="66"/>
      <c r="J2" s="66"/>
      <c r="K2" s="66"/>
      <c r="L2" s="66"/>
      <c r="M2" s="66"/>
      <c r="N2" s="66"/>
    </row>
    <row r="3" spans="1:14" ht="15.6">
      <c r="A3" s="68" t="s">
        <v>191</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192</v>
      </c>
      <c r="B5" s="66"/>
      <c r="C5" s="66"/>
      <c r="D5" s="66"/>
      <c r="E5" s="66"/>
      <c r="F5" s="66"/>
      <c r="G5" s="66"/>
      <c r="H5" s="66"/>
      <c r="I5" s="66"/>
      <c r="J5" s="66"/>
      <c r="K5" s="66"/>
      <c r="L5" s="66"/>
      <c r="M5" s="66"/>
      <c r="N5" s="66"/>
    </row>
    <row r="6" spans="1:14">
      <c r="A6" s="66"/>
      <c r="B6" s="66"/>
      <c r="C6" s="66"/>
      <c r="D6" s="66"/>
      <c r="E6" s="66"/>
      <c r="F6" s="66"/>
      <c r="G6" s="66"/>
      <c r="H6" s="66"/>
      <c r="I6" s="66"/>
      <c r="J6" s="66"/>
      <c r="K6" s="66"/>
      <c r="L6" s="66"/>
      <c r="M6" s="66"/>
      <c r="N6" s="66"/>
    </row>
    <row r="7" spans="1:14" ht="15.6">
      <c r="A7" s="109" t="s">
        <v>193</v>
      </c>
      <c r="B7" s="66"/>
      <c r="C7" s="66"/>
      <c r="D7" s="66"/>
      <c r="E7" s="66"/>
      <c r="F7" s="66"/>
      <c r="G7" s="66"/>
      <c r="H7" s="66"/>
      <c r="I7" s="66"/>
      <c r="J7" s="66"/>
      <c r="K7" s="66"/>
      <c r="L7" s="66"/>
      <c r="M7" s="66"/>
      <c r="N7" s="66"/>
    </row>
    <row r="8" spans="1:14" ht="15.6">
      <c r="A8" s="109" t="s">
        <v>194</v>
      </c>
      <c r="B8" s="66"/>
      <c r="C8" s="66"/>
      <c r="D8" s="66"/>
      <c r="E8" s="66"/>
      <c r="F8" s="66"/>
      <c r="G8" s="66"/>
      <c r="H8" s="66"/>
      <c r="I8" s="66"/>
      <c r="J8" s="66"/>
      <c r="K8" s="66"/>
      <c r="L8" s="66"/>
      <c r="M8" s="66"/>
      <c r="N8" s="66"/>
    </row>
    <row r="9" spans="1:14" ht="15.6">
      <c r="A9" s="109" t="s">
        <v>195</v>
      </c>
      <c r="B9" s="66"/>
      <c r="C9" s="66"/>
      <c r="D9" s="66"/>
      <c r="E9" s="66"/>
      <c r="F9" s="66"/>
      <c r="G9" s="66"/>
      <c r="H9" s="66"/>
      <c r="I9" s="66"/>
      <c r="J9" s="66"/>
      <c r="K9" s="66"/>
      <c r="L9" s="66"/>
      <c r="M9" s="66"/>
      <c r="N9" s="66"/>
    </row>
    <row r="10" spans="1:14" ht="15.6">
      <c r="A10" s="109" t="s">
        <v>196</v>
      </c>
      <c r="B10" s="66"/>
      <c r="C10" s="66"/>
      <c r="D10" s="66"/>
      <c r="E10" s="66"/>
      <c r="F10" s="66"/>
      <c r="G10" s="66"/>
      <c r="H10" s="66"/>
      <c r="I10" s="66"/>
      <c r="J10" s="66"/>
      <c r="K10" s="66"/>
      <c r="L10" s="66"/>
      <c r="M10" s="66"/>
      <c r="N10" s="66"/>
    </row>
    <row r="11" spans="1:14" ht="15.6">
      <c r="A11" s="109" t="s">
        <v>197</v>
      </c>
      <c r="B11" s="66"/>
      <c r="C11" s="66"/>
      <c r="D11" s="66"/>
      <c r="E11" s="66"/>
      <c r="F11" s="66"/>
      <c r="G11" s="66"/>
      <c r="H11" s="66"/>
      <c r="I11" s="66"/>
      <c r="J11" s="66"/>
      <c r="K11" s="66"/>
      <c r="L11" s="66"/>
      <c r="M11" s="66"/>
      <c r="N11" s="66"/>
    </row>
    <row r="12" spans="1:14">
      <c r="A12" s="66"/>
      <c r="B12" s="66"/>
      <c r="C12" s="66"/>
      <c r="D12" s="66"/>
      <c r="E12" s="66"/>
      <c r="F12" s="66"/>
      <c r="G12" s="66"/>
      <c r="H12" s="66"/>
      <c r="I12" s="66"/>
      <c r="J12" s="66"/>
      <c r="K12" s="66"/>
      <c r="L12" s="66"/>
      <c r="M12" s="66"/>
      <c r="N12" s="66"/>
    </row>
    <row r="13" spans="1:14" ht="15.6">
      <c r="A13" s="70" t="s">
        <v>198</v>
      </c>
      <c r="B13" s="66"/>
      <c r="C13" s="66"/>
      <c r="D13" s="66"/>
      <c r="E13" s="66"/>
      <c r="F13" s="66"/>
      <c r="G13" s="66"/>
      <c r="H13" s="66"/>
      <c r="I13" s="66"/>
      <c r="J13" s="66"/>
      <c r="K13" s="66"/>
      <c r="L13" s="66"/>
      <c r="M13" s="66"/>
      <c r="N13" s="66"/>
    </row>
    <row r="14" spans="1:14" ht="16.2" thickBot="1">
      <c r="A14" s="108"/>
      <c r="B14" s="66"/>
      <c r="C14" s="66"/>
      <c r="D14" s="66"/>
      <c r="E14" s="66"/>
      <c r="F14" s="66"/>
      <c r="G14" s="66"/>
      <c r="H14" s="66"/>
      <c r="I14" s="66"/>
      <c r="J14" s="66"/>
      <c r="K14" s="66"/>
      <c r="L14" s="66"/>
      <c r="M14" s="66"/>
      <c r="N14" s="66"/>
    </row>
    <row r="15" spans="1:14" ht="15.6" customHeight="1" thickBot="1">
      <c r="A15" s="110" t="s">
        <v>199</v>
      </c>
      <c r="B15" s="111">
        <v>100000</v>
      </c>
      <c r="C15" s="66"/>
      <c r="D15" s="66"/>
      <c r="E15" s="66"/>
      <c r="F15" s="66"/>
      <c r="G15" s="66"/>
      <c r="H15" s="66"/>
      <c r="I15" s="66"/>
      <c r="J15" s="66"/>
      <c r="K15" s="66"/>
      <c r="L15" s="66"/>
      <c r="M15" s="66"/>
      <c r="N15" s="66"/>
    </row>
    <row r="16" spans="1:14" ht="15.6" customHeight="1" thickBot="1">
      <c r="A16" s="112" t="s">
        <v>200</v>
      </c>
      <c r="B16" s="113" t="s">
        <v>201</v>
      </c>
      <c r="C16" s="66"/>
      <c r="D16" s="66"/>
      <c r="E16" s="66"/>
      <c r="F16" s="66"/>
      <c r="G16" s="66"/>
      <c r="H16" s="66"/>
      <c r="I16" s="66"/>
      <c r="J16" s="66"/>
      <c r="K16" s="66"/>
      <c r="L16" s="66"/>
      <c r="M16" s="66"/>
      <c r="N16" s="66"/>
    </row>
    <row r="17" spans="1:14" ht="15.6" customHeight="1" thickBot="1">
      <c r="A17" s="112" t="s">
        <v>202</v>
      </c>
      <c r="B17" s="114">
        <v>0.02</v>
      </c>
      <c r="C17" s="66"/>
      <c r="D17" s="66"/>
      <c r="E17" s="66"/>
      <c r="F17" s="66"/>
      <c r="G17" s="66"/>
      <c r="H17" s="66"/>
      <c r="I17" s="66"/>
      <c r="J17" s="66"/>
      <c r="K17" s="66"/>
      <c r="L17" s="66"/>
      <c r="M17" s="66"/>
      <c r="N17" s="66"/>
    </row>
    <row r="18" spans="1:14" ht="15.6" customHeight="1" thickBot="1">
      <c r="A18" s="112" t="s">
        <v>203</v>
      </c>
      <c r="B18" s="115">
        <v>0.04</v>
      </c>
      <c r="C18" s="66"/>
      <c r="D18" s="66"/>
      <c r="E18" s="66"/>
      <c r="F18" s="66"/>
      <c r="G18" s="66"/>
      <c r="H18" s="66"/>
      <c r="I18" s="66"/>
      <c r="J18" s="66"/>
      <c r="K18" s="66"/>
      <c r="L18" s="66"/>
      <c r="M18" s="66"/>
      <c r="N18" s="66"/>
    </row>
    <row r="19" spans="1:14" ht="15.6" customHeight="1" thickBot="1">
      <c r="A19" s="112" t="s">
        <v>204</v>
      </c>
      <c r="B19" s="113">
        <v>50</v>
      </c>
      <c r="C19" s="66"/>
      <c r="D19" s="66"/>
      <c r="E19" s="66"/>
      <c r="F19" s="66"/>
      <c r="G19" s="66"/>
      <c r="H19" s="66"/>
      <c r="I19" s="66"/>
      <c r="J19" s="66"/>
      <c r="K19" s="66"/>
      <c r="L19" s="66"/>
      <c r="M19" s="66"/>
      <c r="N19" s="66"/>
    </row>
    <row r="20" spans="1:14" ht="16.2" thickBot="1">
      <c r="A20" s="112" t="s">
        <v>205</v>
      </c>
      <c r="B20" s="114">
        <v>0.03</v>
      </c>
      <c r="C20" s="66"/>
      <c r="D20" s="66"/>
      <c r="E20" s="66"/>
      <c r="F20" s="66"/>
      <c r="G20" s="66"/>
      <c r="H20" s="66"/>
      <c r="I20" s="66"/>
      <c r="J20" s="66"/>
      <c r="K20" s="66"/>
      <c r="L20" s="66"/>
      <c r="M20" s="66"/>
      <c r="N20" s="66"/>
    </row>
    <row r="21" spans="1:14" ht="31.8" thickBot="1">
      <c r="A21" s="112" t="s">
        <v>206</v>
      </c>
      <c r="B21" s="114">
        <v>3.5000000000000003E-2</v>
      </c>
      <c r="C21" s="66"/>
      <c r="D21" s="66"/>
      <c r="E21" s="66"/>
      <c r="F21" s="66"/>
      <c r="G21" s="66"/>
      <c r="H21" s="66"/>
      <c r="I21" s="66"/>
      <c r="J21" s="66"/>
      <c r="K21" s="66"/>
      <c r="L21" s="66"/>
      <c r="M21" s="66"/>
      <c r="N21" s="66"/>
    </row>
    <row r="22" spans="1:14" ht="15.6">
      <c r="A22" s="1175" t="s">
        <v>207</v>
      </c>
      <c r="B22" s="116" t="s">
        <v>208</v>
      </c>
      <c r="C22" s="66"/>
      <c r="D22" s="66"/>
      <c r="E22" s="66"/>
      <c r="F22" s="66"/>
      <c r="G22" s="66"/>
      <c r="H22" s="66"/>
      <c r="I22" s="66"/>
      <c r="J22" s="66"/>
      <c r="K22" s="66"/>
      <c r="L22" s="66"/>
      <c r="M22" s="66"/>
      <c r="N22" s="66"/>
    </row>
    <row r="23" spans="1:14" ht="15.6">
      <c r="A23" s="1176"/>
      <c r="B23" s="116" t="s">
        <v>209</v>
      </c>
      <c r="C23" s="66"/>
      <c r="D23" s="66"/>
      <c r="E23" s="66"/>
      <c r="F23" s="66"/>
      <c r="G23" s="66"/>
      <c r="H23" s="66"/>
      <c r="I23" s="66"/>
      <c r="J23" s="66"/>
      <c r="K23" s="66"/>
      <c r="L23" s="66"/>
      <c r="M23" s="66"/>
      <c r="N23" s="66"/>
    </row>
    <row r="24" spans="1:14" ht="15.6">
      <c r="A24" s="1176"/>
      <c r="B24" s="116" t="s">
        <v>210</v>
      </c>
      <c r="C24" s="66"/>
      <c r="D24" s="66"/>
      <c r="E24" s="66"/>
      <c r="F24" s="66"/>
      <c r="G24" s="66"/>
      <c r="H24" s="66"/>
      <c r="I24" s="66"/>
      <c r="J24" s="66"/>
      <c r="K24" s="66"/>
      <c r="L24" s="66"/>
      <c r="M24" s="66"/>
      <c r="N24" s="66"/>
    </row>
    <row r="25" spans="1:14" ht="15.6">
      <c r="A25" s="1176"/>
      <c r="B25" s="116" t="s">
        <v>211</v>
      </c>
      <c r="C25" s="66"/>
      <c r="D25" s="66"/>
      <c r="E25" s="66"/>
      <c r="F25" s="66"/>
      <c r="G25" s="66"/>
      <c r="H25" s="66"/>
      <c r="I25" s="66"/>
      <c r="J25" s="66"/>
      <c r="K25" s="66"/>
      <c r="L25" s="66"/>
      <c r="M25" s="66"/>
      <c r="N25" s="66"/>
    </row>
    <row r="26" spans="1:14" ht="16.2" thickBot="1">
      <c r="A26" s="1177"/>
      <c r="B26" s="113" t="s">
        <v>212</v>
      </c>
      <c r="C26" s="66"/>
      <c r="D26" s="66"/>
      <c r="E26" s="66"/>
      <c r="F26" s="66"/>
      <c r="G26" s="66"/>
      <c r="H26" s="66"/>
      <c r="I26" s="66"/>
      <c r="J26" s="66"/>
      <c r="K26" s="66"/>
      <c r="L26" s="66"/>
      <c r="M26" s="66"/>
      <c r="N26" s="66"/>
    </row>
    <row r="27" spans="1:14" ht="15.6">
      <c r="A27" s="118"/>
    </row>
    <row r="28" spans="1:14" ht="15.6">
      <c r="A28" s="70" t="s">
        <v>218</v>
      </c>
      <c r="B28" s="66"/>
      <c r="C28" s="66"/>
      <c r="D28" s="66"/>
      <c r="E28" s="66"/>
      <c r="F28" s="66"/>
      <c r="G28" s="66"/>
      <c r="H28" s="66"/>
      <c r="I28" s="66"/>
      <c r="J28" s="66"/>
      <c r="K28" s="66"/>
      <c r="L28" s="66"/>
      <c r="M28" s="66"/>
      <c r="N28" s="66"/>
    </row>
    <row r="29" spans="1:14" ht="15.6">
      <c r="A29" s="71"/>
      <c r="B29" s="66"/>
      <c r="C29" s="66"/>
      <c r="D29" s="66"/>
      <c r="E29" s="66"/>
      <c r="F29" s="66"/>
      <c r="G29" s="66"/>
      <c r="H29" s="66"/>
      <c r="I29" s="66"/>
      <c r="J29" s="66"/>
      <c r="K29" s="66"/>
      <c r="L29" s="66"/>
      <c r="M29" s="66"/>
      <c r="N29" s="66"/>
    </row>
    <row r="30" spans="1:14" ht="15.6">
      <c r="A30" s="70" t="s">
        <v>222</v>
      </c>
      <c r="B30" s="66"/>
      <c r="C30" s="66"/>
      <c r="D30" s="66"/>
      <c r="E30" s="66"/>
      <c r="F30" s="66"/>
      <c r="G30" s="66"/>
      <c r="H30" s="66"/>
      <c r="I30" s="66"/>
      <c r="J30" s="66"/>
      <c r="K30" s="66"/>
      <c r="L30" s="66"/>
      <c r="M30" s="66"/>
      <c r="N30" s="66"/>
    </row>
    <row r="31" spans="1:14" ht="15.6">
      <c r="A31" s="120" t="s">
        <v>24</v>
      </c>
    </row>
  </sheetData>
  <mergeCells count="1">
    <mergeCell ref="A22:A26"/>
  </mergeCell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325DA-51D3-415A-B212-C621B72B0BD0}">
  <sheetPr codeName="Sheet25"/>
  <dimension ref="A1:N31"/>
  <sheetViews>
    <sheetView topLeftCell="A19" workbookViewId="0"/>
  </sheetViews>
  <sheetFormatPr defaultColWidth="8.77734375" defaultRowHeight="14.4"/>
  <cols>
    <col min="1" max="1" width="37.77734375" style="67" customWidth="1"/>
    <col min="2" max="2" width="25.5546875" style="67" customWidth="1"/>
    <col min="3" max="16384" width="8.77734375" style="67"/>
  </cols>
  <sheetData>
    <row r="1" spans="1:14" ht="17.399999999999999">
      <c r="A1" s="65" t="s">
        <v>189</v>
      </c>
      <c r="B1" s="66"/>
      <c r="C1" s="66"/>
      <c r="D1" s="66"/>
      <c r="E1" s="66"/>
      <c r="F1" s="66"/>
      <c r="G1" s="66"/>
      <c r="H1" s="66"/>
      <c r="I1" s="66"/>
      <c r="J1" s="66"/>
      <c r="K1" s="66"/>
      <c r="L1" s="66"/>
      <c r="M1" s="66"/>
      <c r="N1" s="66"/>
    </row>
    <row r="2" spans="1:14" ht="15.6">
      <c r="A2" s="68" t="s">
        <v>190</v>
      </c>
      <c r="B2" s="66"/>
      <c r="C2" s="66"/>
      <c r="D2" s="66"/>
      <c r="E2" s="66"/>
      <c r="F2" s="66"/>
      <c r="G2" s="66"/>
      <c r="H2" s="66"/>
      <c r="I2" s="66"/>
      <c r="J2" s="66"/>
      <c r="K2" s="66"/>
      <c r="L2" s="66"/>
      <c r="M2" s="66"/>
      <c r="N2" s="66"/>
    </row>
    <row r="3" spans="1:14" ht="15.6">
      <c r="A3" s="68" t="s">
        <v>191</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192</v>
      </c>
      <c r="B5" s="66"/>
      <c r="C5" s="66"/>
      <c r="D5" s="66"/>
      <c r="E5" s="66"/>
      <c r="F5" s="66"/>
      <c r="G5" s="66"/>
      <c r="H5" s="66"/>
      <c r="I5" s="66"/>
      <c r="J5" s="66"/>
      <c r="K5" s="66"/>
      <c r="L5" s="66"/>
      <c r="M5" s="66"/>
      <c r="N5" s="66"/>
    </row>
    <row r="6" spans="1:14">
      <c r="A6" s="66"/>
      <c r="B6" s="66"/>
      <c r="C6" s="66"/>
      <c r="D6" s="66"/>
      <c r="E6" s="66"/>
      <c r="F6" s="66"/>
      <c r="G6" s="66"/>
      <c r="H6" s="66"/>
      <c r="I6" s="66"/>
      <c r="J6" s="66"/>
      <c r="K6" s="66"/>
      <c r="L6" s="66"/>
      <c r="M6" s="66"/>
      <c r="N6" s="66"/>
    </row>
    <row r="7" spans="1:14" ht="15.6">
      <c r="A7" s="109" t="s">
        <v>193</v>
      </c>
      <c r="B7" s="66"/>
      <c r="C7" s="66"/>
      <c r="D7" s="66"/>
      <c r="E7" s="66"/>
      <c r="F7" s="66"/>
      <c r="G7" s="66"/>
      <c r="H7" s="66"/>
      <c r="I7" s="66"/>
      <c r="J7" s="66"/>
      <c r="K7" s="66"/>
      <c r="L7" s="66"/>
      <c r="M7" s="66"/>
      <c r="N7" s="66"/>
    </row>
    <row r="8" spans="1:14" ht="15.6">
      <c r="A8" s="109" t="s">
        <v>194</v>
      </c>
      <c r="B8" s="66"/>
      <c r="C8" s="66"/>
      <c r="D8" s="66"/>
      <c r="E8" s="66"/>
      <c r="F8" s="66"/>
      <c r="G8" s="66"/>
      <c r="H8" s="66"/>
      <c r="I8" s="66"/>
      <c r="J8" s="66"/>
      <c r="K8" s="66"/>
      <c r="L8" s="66"/>
      <c r="M8" s="66"/>
      <c r="N8" s="66"/>
    </row>
    <row r="9" spans="1:14" ht="15.6">
      <c r="A9" s="109" t="s">
        <v>195</v>
      </c>
      <c r="B9" s="66"/>
      <c r="C9" s="66"/>
      <c r="D9" s="66"/>
      <c r="E9" s="66"/>
      <c r="F9" s="66"/>
      <c r="G9" s="66"/>
      <c r="H9" s="66"/>
      <c r="I9" s="66"/>
      <c r="J9" s="66"/>
      <c r="K9" s="66"/>
      <c r="L9" s="66"/>
      <c r="M9" s="66"/>
      <c r="N9" s="66"/>
    </row>
    <row r="10" spans="1:14" ht="15.6">
      <c r="A10" s="109" t="s">
        <v>196</v>
      </c>
      <c r="B10" s="66"/>
      <c r="C10" s="66"/>
      <c r="D10" s="66"/>
      <c r="E10" s="66"/>
      <c r="F10" s="66"/>
      <c r="G10" s="66"/>
      <c r="H10" s="66"/>
      <c r="I10" s="66"/>
      <c r="J10" s="66"/>
      <c r="K10" s="66"/>
      <c r="L10" s="66"/>
      <c r="M10" s="66"/>
      <c r="N10" s="66"/>
    </row>
    <row r="11" spans="1:14" ht="15.6">
      <c r="A11" s="109" t="s">
        <v>197</v>
      </c>
      <c r="B11" s="66"/>
      <c r="C11" s="66"/>
      <c r="D11" s="66"/>
      <c r="E11" s="66"/>
      <c r="F11" s="66"/>
      <c r="G11" s="66"/>
      <c r="H11" s="66"/>
      <c r="I11" s="66"/>
      <c r="J11" s="66"/>
      <c r="K11" s="66"/>
      <c r="L11" s="66"/>
      <c r="M11" s="66"/>
      <c r="N11" s="66"/>
    </row>
    <row r="12" spans="1:14">
      <c r="A12" s="66"/>
      <c r="B12" s="66"/>
      <c r="C12" s="66"/>
      <c r="D12" s="66"/>
      <c r="E12" s="66"/>
      <c r="F12" s="66"/>
      <c r="G12" s="66"/>
      <c r="H12" s="66"/>
      <c r="I12" s="66"/>
      <c r="J12" s="66"/>
      <c r="K12" s="66"/>
      <c r="L12" s="66"/>
      <c r="M12" s="66"/>
      <c r="N12" s="66"/>
    </row>
    <row r="13" spans="1:14" ht="15.6">
      <c r="A13" s="70" t="s">
        <v>198</v>
      </c>
      <c r="B13" s="66"/>
      <c r="C13" s="66"/>
      <c r="D13" s="66"/>
      <c r="E13" s="66"/>
      <c r="F13" s="66"/>
      <c r="G13" s="66"/>
      <c r="H13" s="66"/>
      <c r="I13" s="66"/>
      <c r="J13" s="66"/>
      <c r="K13" s="66"/>
      <c r="L13" s="66"/>
      <c r="M13" s="66"/>
      <c r="N13" s="66"/>
    </row>
    <row r="14" spans="1:14" ht="16.2" thickBot="1">
      <c r="A14" s="108"/>
      <c r="B14" s="66"/>
      <c r="C14" s="66"/>
      <c r="D14" s="66"/>
      <c r="E14" s="66"/>
      <c r="F14" s="66"/>
      <c r="G14" s="66"/>
      <c r="H14" s="66"/>
      <c r="I14" s="66"/>
      <c r="J14" s="66"/>
      <c r="K14" s="66"/>
      <c r="L14" s="66"/>
      <c r="M14" s="66"/>
      <c r="N14" s="66"/>
    </row>
    <row r="15" spans="1:14" ht="15.6" customHeight="1" thickBot="1">
      <c r="A15" s="110" t="s">
        <v>199</v>
      </c>
      <c r="B15" s="111">
        <v>100000</v>
      </c>
      <c r="C15" s="66"/>
      <c r="D15" s="66"/>
      <c r="E15" s="66"/>
      <c r="F15" s="66"/>
      <c r="G15" s="66"/>
      <c r="H15" s="66"/>
      <c r="I15" s="66"/>
      <c r="J15" s="66"/>
      <c r="K15" s="66"/>
      <c r="L15" s="66"/>
      <c r="M15" s="66"/>
      <c r="N15" s="66"/>
    </row>
    <row r="16" spans="1:14" ht="15.6" customHeight="1" thickBot="1">
      <c r="A16" s="112" t="s">
        <v>200</v>
      </c>
      <c r="B16" s="113" t="s">
        <v>201</v>
      </c>
      <c r="C16" s="66"/>
      <c r="D16" s="66"/>
      <c r="E16" s="66"/>
      <c r="F16" s="66"/>
      <c r="G16" s="66"/>
      <c r="H16" s="66"/>
      <c r="I16" s="66"/>
      <c r="J16" s="66"/>
      <c r="K16" s="66"/>
      <c r="L16" s="66"/>
      <c r="M16" s="66"/>
      <c r="N16" s="66"/>
    </row>
    <row r="17" spans="1:14" ht="15.6" customHeight="1" thickBot="1">
      <c r="A17" s="112" t="s">
        <v>202</v>
      </c>
      <c r="B17" s="114">
        <v>0.02</v>
      </c>
      <c r="C17" s="66"/>
      <c r="D17" s="66"/>
      <c r="E17" s="66"/>
      <c r="F17" s="66"/>
      <c r="G17" s="66"/>
      <c r="H17" s="66"/>
      <c r="I17" s="66"/>
      <c r="J17" s="66"/>
      <c r="K17" s="66"/>
      <c r="L17" s="66"/>
      <c r="M17" s="66"/>
      <c r="N17" s="66"/>
    </row>
    <row r="18" spans="1:14" ht="15.6" customHeight="1" thickBot="1">
      <c r="A18" s="112" t="s">
        <v>203</v>
      </c>
      <c r="B18" s="115">
        <v>0.04</v>
      </c>
      <c r="C18" s="66"/>
      <c r="D18" s="66"/>
      <c r="E18" s="66"/>
      <c r="F18" s="66"/>
      <c r="G18" s="66"/>
      <c r="H18" s="66"/>
      <c r="I18" s="66"/>
      <c r="J18" s="66"/>
      <c r="K18" s="66"/>
      <c r="L18" s="66"/>
      <c r="M18" s="66"/>
      <c r="N18" s="66"/>
    </row>
    <row r="19" spans="1:14" ht="15.6" customHeight="1" thickBot="1">
      <c r="A19" s="112" t="s">
        <v>204</v>
      </c>
      <c r="B19" s="113">
        <v>50</v>
      </c>
      <c r="C19" s="66"/>
      <c r="D19" s="66"/>
      <c r="E19" s="66"/>
      <c r="F19" s="66"/>
      <c r="G19" s="66"/>
      <c r="H19" s="66"/>
      <c r="I19" s="66"/>
      <c r="J19" s="66"/>
      <c r="K19" s="66"/>
      <c r="L19" s="66"/>
      <c r="M19" s="66"/>
      <c r="N19" s="66"/>
    </row>
    <row r="20" spans="1:14" ht="16.2" thickBot="1">
      <c r="A20" s="112" t="s">
        <v>205</v>
      </c>
      <c r="B20" s="114">
        <v>0.03</v>
      </c>
      <c r="C20" s="66"/>
      <c r="D20" s="66"/>
      <c r="E20" s="66"/>
      <c r="F20" s="66"/>
      <c r="G20" s="66"/>
      <c r="H20" s="66"/>
      <c r="I20" s="66"/>
      <c r="J20" s="66"/>
      <c r="K20" s="66"/>
      <c r="L20" s="66"/>
      <c r="M20" s="66"/>
      <c r="N20" s="66"/>
    </row>
    <row r="21" spans="1:14" ht="31.8" thickBot="1">
      <c r="A21" s="112" t="s">
        <v>206</v>
      </c>
      <c r="B21" s="114">
        <v>3.5000000000000003E-2</v>
      </c>
      <c r="C21" s="66"/>
      <c r="D21" s="66"/>
      <c r="E21" s="66"/>
      <c r="F21" s="66"/>
      <c r="G21" s="66"/>
      <c r="H21" s="66"/>
      <c r="I21" s="66"/>
      <c r="J21" s="66"/>
      <c r="K21" s="66"/>
      <c r="L21" s="66"/>
      <c r="M21" s="66"/>
      <c r="N21" s="66"/>
    </row>
    <row r="22" spans="1:14" ht="15.6">
      <c r="A22" s="1175" t="s">
        <v>207</v>
      </c>
      <c r="B22" s="116" t="s">
        <v>208</v>
      </c>
      <c r="C22" s="66"/>
      <c r="D22" s="66"/>
      <c r="E22" s="66"/>
      <c r="F22" s="66"/>
      <c r="G22" s="66"/>
      <c r="H22" s="66"/>
      <c r="I22" s="66"/>
      <c r="J22" s="66"/>
      <c r="K22" s="66"/>
      <c r="L22" s="66"/>
      <c r="M22" s="66"/>
      <c r="N22" s="66"/>
    </row>
    <row r="23" spans="1:14" ht="15.6">
      <c r="A23" s="1176"/>
      <c r="B23" s="116" t="s">
        <v>209</v>
      </c>
      <c r="C23" s="66"/>
      <c r="D23" s="66"/>
      <c r="E23" s="66"/>
      <c r="F23" s="66"/>
      <c r="G23" s="66"/>
      <c r="H23" s="66"/>
      <c r="I23" s="66"/>
      <c r="J23" s="66"/>
      <c r="K23" s="66"/>
      <c r="L23" s="66"/>
      <c r="M23" s="66"/>
      <c r="N23" s="66"/>
    </row>
    <row r="24" spans="1:14" ht="15.6">
      <c r="A24" s="1176"/>
      <c r="B24" s="116" t="s">
        <v>210</v>
      </c>
      <c r="C24" s="66"/>
      <c r="D24" s="66"/>
      <c r="E24" s="66"/>
      <c r="F24" s="66"/>
      <c r="G24" s="66"/>
      <c r="H24" s="66"/>
      <c r="I24" s="66"/>
      <c r="J24" s="66"/>
      <c r="K24" s="66"/>
      <c r="L24" s="66"/>
      <c r="M24" s="66"/>
      <c r="N24" s="66"/>
    </row>
    <row r="25" spans="1:14" ht="15.6">
      <c r="A25" s="1176"/>
      <c r="B25" s="116" t="s">
        <v>211</v>
      </c>
      <c r="C25" s="66"/>
      <c r="D25" s="66"/>
      <c r="E25" s="66"/>
      <c r="F25" s="66"/>
      <c r="G25" s="66"/>
      <c r="H25" s="66"/>
      <c r="I25" s="66"/>
      <c r="J25" s="66"/>
      <c r="K25" s="66"/>
      <c r="L25" s="66"/>
      <c r="M25" s="66"/>
      <c r="N25" s="66"/>
    </row>
    <row r="26" spans="1:14" ht="16.2" thickBot="1">
      <c r="A26" s="1177"/>
      <c r="B26" s="113" t="s">
        <v>212</v>
      </c>
      <c r="C26" s="66"/>
      <c r="D26" s="66"/>
      <c r="E26" s="66"/>
      <c r="F26" s="66"/>
      <c r="G26" s="66"/>
      <c r="H26" s="66"/>
      <c r="I26" s="66"/>
      <c r="J26" s="66"/>
      <c r="K26" s="66"/>
      <c r="L26" s="66"/>
      <c r="M26" s="66"/>
      <c r="N26" s="66"/>
    </row>
    <row r="27" spans="1:14" ht="15.6">
      <c r="A27" s="118"/>
    </row>
    <row r="28" spans="1:14" ht="15.6">
      <c r="A28" s="70" t="s">
        <v>223</v>
      </c>
      <c r="B28" s="66"/>
      <c r="C28" s="66"/>
      <c r="D28" s="66"/>
      <c r="E28" s="66"/>
      <c r="F28" s="66"/>
      <c r="G28" s="66"/>
      <c r="H28" s="66"/>
      <c r="I28" s="66"/>
      <c r="J28" s="66"/>
      <c r="K28" s="66"/>
      <c r="L28" s="66"/>
      <c r="M28" s="66"/>
      <c r="N28" s="66"/>
    </row>
    <row r="29" spans="1:14" ht="15.6">
      <c r="A29" s="71"/>
      <c r="B29" s="66"/>
      <c r="C29" s="66"/>
      <c r="D29" s="66"/>
      <c r="E29" s="66"/>
      <c r="F29" s="66"/>
      <c r="G29" s="66"/>
      <c r="H29" s="66"/>
      <c r="I29" s="66"/>
      <c r="J29" s="66"/>
      <c r="K29" s="66"/>
      <c r="L29" s="66"/>
      <c r="M29" s="66"/>
      <c r="N29" s="66"/>
    </row>
    <row r="30" spans="1:14" ht="15.6">
      <c r="A30" s="108" t="s">
        <v>224</v>
      </c>
      <c r="B30" s="66"/>
      <c r="C30" s="66"/>
      <c r="D30" s="66"/>
      <c r="E30" s="66"/>
      <c r="F30" s="66"/>
      <c r="G30" s="66"/>
      <c r="H30" s="66"/>
      <c r="I30" s="66"/>
      <c r="J30" s="66"/>
      <c r="K30" s="66"/>
      <c r="L30" s="66"/>
      <c r="M30" s="66"/>
      <c r="N30" s="66"/>
    </row>
    <row r="31" spans="1:14" ht="15.6">
      <c r="A31" s="120" t="s">
        <v>24</v>
      </c>
    </row>
  </sheetData>
  <mergeCells count="1">
    <mergeCell ref="A22:A26"/>
  </mergeCell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2532-D343-42EF-98B7-37C3DC7D8CAB}">
  <sheetPr codeName="Sheet26"/>
  <dimension ref="A1:N17"/>
  <sheetViews>
    <sheetView topLeftCell="A12" workbookViewId="0"/>
  </sheetViews>
  <sheetFormatPr defaultColWidth="8.77734375" defaultRowHeight="14.4"/>
  <cols>
    <col min="1" max="1" width="46.21875" style="67" customWidth="1"/>
    <col min="2" max="2" width="13.21875" style="67" customWidth="1"/>
    <col min="3" max="16384" width="8.77734375" style="67"/>
  </cols>
  <sheetData>
    <row r="1" spans="1:14" ht="17.399999999999999">
      <c r="A1" s="65" t="s">
        <v>225</v>
      </c>
      <c r="B1" s="66"/>
      <c r="C1" s="66"/>
      <c r="D1" s="66"/>
      <c r="E1" s="66"/>
      <c r="F1" s="66"/>
      <c r="G1" s="66"/>
      <c r="H1" s="66"/>
      <c r="I1" s="66"/>
      <c r="J1" s="66"/>
      <c r="K1" s="66"/>
      <c r="L1" s="66"/>
      <c r="M1" s="66"/>
      <c r="N1" s="66"/>
    </row>
    <row r="2" spans="1:14" ht="15.6">
      <c r="A2" s="68" t="s">
        <v>226</v>
      </c>
      <c r="B2" s="66"/>
      <c r="C2" s="66"/>
      <c r="D2" s="66"/>
      <c r="E2" s="66"/>
      <c r="F2" s="66"/>
      <c r="G2" s="66"/>
      <c r="H2" s="66"/>
      <c r="I2" s="66"/>
      <c r="J2" s="66"/>
      <c r="K2" s="66"/>
      <c r="L2" s="66"/>
      <c r="M2" s="66"/>
      <c r="N2" s="66"/>
    </row>
    <row r="3" spans="1:14" ht="15.6">
      <c r="A3" s="68" t="s">
        <v>227</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228</v>
      </c>
      <c r="B5" s="66"/>
      <c r="C5" s="66"/>
      <c r="D5" s="66"/>
      <c r="E5" s="66"/>
      <c r="F5" s="66"/>
      <c r="G5" s="66"/>
      <c r="H5" s="66"/>
      <c r="I5" s="66"/>
      <c r="J5" s="66"/>
      <c r="K5" s="66"/>
      <c r="L5" s="66"/>
      <c r="M5" s="66"/>
      <c r="N5" s="66"/>
    </row>
    <row r="6" spans="1:14" ht="16.2" thickBot="1">
      <c r="A6" s="70"/>
      <c r="B6" s="66"/>
      <c r="C6" s="66"/>
      <c r="D6" s="66"/>
      <c r="E6" s="66"/>
      <c r="F6" s="66"/>
      <c r="G6" s="66"/>
      <c r="H6" s="66"/>
      <c r="I6" s="66"/>
      <c r="J6" s="66"/>
      <c r="K6" s="66"/>
      <c r="L6" s="66"/>
      <c r="M6" s="66"/>
      <c r="N6" s="66"/>
    </row>
    <row r="7" spans="1:14" ht="15.6" customHeight="1" thickBot="1">
      <c r="A7" s="121" t="s">
        <v>229</v>
      </c>
      <c r="B7" s="122">
        <v>42370</v>
      </c>
      <c r="C7" s="66"/>
      <c r="D7" s="66"/>
      <c r="E7" s="66"/>
      <c r="F7" s="66"/>
      <c r="G7" s="66"/>
      <c r="H7" s="66"/>
      <c r="I7" s="66"/>
      <c r="J7" s="66"/>
      <c r="K7" s="66"/>
      <c r="L7" s="66"/>
      <c r="M7" s="66"/>
      <c r="N7" s="66"/>
    </row>
    <row r="8" spans="1:14" ht="15.6" customHeight="1" thickBot="1">
      <c r="A8" s="123" t="s">
        <v>230</v>
      </c>
      <c r="B8" s="124">
        <v>100000</v>
      </c>
      <c r="C8" s="66"/>
      <c r="D8" s="66"/>
      <c r="E8" s="66"/>
      <c r="F8" s="66"/>
      <c r="G8" s="66"/>
      <c r="H8" s="66"/>
      <c r="I8" s="66"/>
      <c r="J8" s="66"/>
      <c r="K8" s="66"/>
      <c r="L8" s="66"/>
      <c r="M8" s="66"/>
      <c r="N8" s="66"/>
    </row>
    <row r="9" spans="1:14" ht="15.6" customHeight="1" thickBot="1">
      <c r="A9" s="121" t="s">
        <v>231</v>
      </c>
      <c r="B9" s="125">
        <v>4.4999999999999998E-2</v>
      </c>
      <c r="C9" s="66"/>
      <c r="D9" s="66"/>
      <c r="E9" s="66"/>
      <c r="F9" s="66"/>
      <c r="G9" s="66"/>
      <c r="H9" s="66"/>
      <c r="I9" s="66"/>
      <c r="J9" s="66"/>
      <c r="K9" s="66"/>
      <c r="L9" s="66"/>
      <c r="M9" s="66"/>
      <c r="N9" s="66"/>
    </row>
    <row r="10" spans="1:14" ht="32.1" customHeight="1" thickBot="1">
      <c r="A10" s="126" t="s">
        <v>232</v>
      </c>
      <c r="B10" s="127">
        <v>50</v>
      </c>
      <c r="C10" s="66"/>
      <c r="D10" s="66"/>
      <c r="E10" s="66"/>
      <c r="F10" s="66"/>
      <c r="G10" s="66"/>
      <c r="H10" s="66"/>
      <c r="I10" s="66"/>
      <c r="J10" s="66"/>
      <c r="K10" s="66"/>
      <c r="L10" s="66"/>
      <c r="M10" s="66"/>
      <c r="N10" s="66"/>
    </row>
    <row r="11" spans="1:14" ht="16.2" thickBot="1">
      <c r="A11" s="70"/>
      <c r="B11" s="66"/>
      <c r="C11" s="66"/>
      <c r="D11" s="66"/>
      <c r="E11" s="66"/>
      <c r="F11" s="66"/>
      <c r="G11" s="66"/>
      <c r="H11" s="66"/>
      <c r="I11" s="66"/>
      <c r="J11" s="66"/>
      <c r="K11" s="66"/>
      <c r="L11" s="66"/>
      <c r="M11" s="66"/>
      <c r="N11" s="66"/>
    </row>
    <row r="12" spans="1:14" ht="16.2" thickBot="1">
      <c r="A12" s="128"/>
      <c r="B12" s="129">
        <v>2016</v>
      </c>
      <c r="C12" s="129">
        <v>2017</v>
      </c>
      <c r="D12" s="129">
        <v>2018</v>
      </c>
      <c r="E12" s="129">
        <v>2019</v>
      </c>
      <c r="F12" s="129">
        <v>2020</v>
      </c>
      <c r="G12" s="66"/>
      <c r="H12" s="66"/>
      <c r="I12" s="66"/>
      <c r="J12" s="66"/>
      <c r="K12" s="66"/>
      <c r="L12" s="66"/>
      <c r="M12" s="66"/>
      <c r="N12" s="66"/>
    </row>
    <row r="13" spans="1:14" ht="15.6" customHeight="1" thickBot="1">
      <c r="A13" s="123" t="s">
        <v>233</v>
      </c>
      <c r="B13" s="130">
        <v>1.0999999999999999E-2</v>
      </c>
      <c r="C13" s="130">
        <v>1.0999999999999999E-2</v>
      </c>
      <c r="D13" s="130">
        <v>1.0999999999999999E-2</v>
      </c>
      <c r="E13" s="130">
        <v>1.0999999999999999E-2</v>
      </c>
      <c r="F13" s="130">
        <v>1.0999999999999999E-2</v>
      </c>
      <c r="G13" s="66"/>
      <c r="H13" s="66"/>
      <c r="I13" s="66"/>
      <c r="J13" s="66"/>
      <c r="K13" s="66"/>
      <c r="L13" s="66"/>
      <c r="M13" s="66"/>
      <c r="N13" s="66"/>
    </row>
    <row r="14" spans="1:14" ht="15.6" customHeight="1" thickBot="1">
      <c r="A14" s="121" t="s">
        <v>234</v>
      </c>
      <c r="B14" s="131">
        <v>8.9999999999999993E-3</v>
      </c>
      <c r="C14" s="131">
        <v>9.9000000000000008E-3</v>
      </c>
      <c r="D14" s="131">
        <v>1.09E-2</v>
      </c>
      <c r="E14" s="131">
        <v>1.2E-2</v>
      </c>
      <c r="F14" s="131">
        <v>1.32E-2</v>
      </c>
      <c r="G14" s="66"/>
      <c r="H14" s="66"/>
      <c r="I14" s="66"/>
      <c r="J14" s="66"/>
      <c r="K14" s="66"/>
      <c r="L14" s="66"/>
      <c r="M14" s="66"/>
      <c r="N14" s="66"/>
    </row>
    <row r="15" spans="1:14" ht="15.6">
      <c r="A15" s="71"/>
      <c r="B15" s="66"/>
      <c r="C15" s="66"/>
      <c r="D15" s="66"/>
      <c r="E15" s="66"/>
      <c r="F15" s="66"/>
      <c r="G15" s="66"/>
      <c r="H15" s="66"/>
      <c r="I15" s="66"/>
      <c r="J15" s="66"/>
      <c r="K15" s="66"/>
      <c r="L15" s="66"/>
      <c r="M15" s="66"/>
      <c r="N15" s="66"/>
    </row>
    <row r="16" spans="1:14" ht="15.6">
      <c r="A16" s="70" t="s">
        <v>235</v>
      </c>
      <c r="B16" s="66"/>
      <c r="C16" s="66"/>
      <c r="D16" s="66"/>
      <c r="E16" s="66"/>
      <c r="F16" s="66"/>
      <c r="G16" s="66"/>
      <c r="H16" s="66"/>
      <c r="I16" s="66"/>
      <c r="J16" s="66"/>
      <c r="K16" s="66"/>
      <c r="L16" s="66"/>
      <c r="M16" s="66"/>
      <c r="N16" s="66"/>
    </row>
    <row r="17" spans="1:1" ht="15.6">
      <c r="A17" s="107" t="s">
        <v>24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6F111-B51F-4198-A5BB-4C448FC98155}">
  <sheetPr>
    <tabColor rgb="FFFF0000"/>
  </sheetPr>
  <dimension ref="A1:J26"/>
  <sheetViews>
    <sheetView workbookViewId="0">
      <selection sqref="A1:XFD1048576"/>
    </sheetView>
  </sheetViews>
  <sheetFormatPr defaultColWidth="9.21875" defaultRowHeight="14.4"/>
  <cols>
    <col min="1" max="1" width="32.44140625" style="727" customWidth="1"/>
    <col min="2" max="2" width="17.5546875" style="727" customWidth="1"/>
    <col min="3" max="3" width="13.77734375" style="727" customWidth="1"/>
    <col min="4" max="4" width="10.77734375" style="727" customWidth="1"/>
    <col min="5" max="16384" width="9.21875" style="727"/>
  </cols>
  <sheetData>
    <row r="1" spans="1:10" s="729" customFormat="1" ht="17.399999999999999">
      <c r="A1" s="730" t="s">
        <v>408</v>
      </c>
    </row>
    <row r="2" spans="1:10" s="729" customFormat="1" ht="15.6">
      <c r="A2" s="731" t="s">
        <v>190</v>
      </c>
    </row>
    <row r="3" spans="1:10" s="729" customFormat="1" ht="15.6">
      <c r="A3" s="731" t="s">
        <v>388</v>
      </c>
    </row>
    <row r="4" spans="1:10" s="729" customFormat="1"/>
    <row r="5" spans="1:10" s="729" customFormat="1" ht="53.1" customHeight="1">
      <c r="A5" s="1058" t="s">
        <v>1746</v>
      </c>
      <c r="B5" s="1058"/>
      <c r="C5" s="1058"/>
      <c r="D5" s="1058"/>
      <c r="E5" s="1058"/>
      <c r="F5" s="1058"/>
      <c r="G5" s="1058"/>
      <c r="H5" s="1058"/>
      <c r="I5" s="1058"/>
      <c r="J5" s="1058"/>
    </row>
    <row r="6" spans="1:10" s="729" customFormat="1" ht="15.6">
      <c r="A6" s="728"/>
    </row>
    <row r="7" spans="1:10" s="729" customFormat="1" ht="15.6">
      <c r="A7" s="986" t="s">
        <v>1853</v>
      </c>
    </row>
    <row r="8" spans="1:10" s="729" customFormat="1" ht="15.6">
      <c r="A8" s="741"/>
    </row>
    <row r="9" spans="1:10" s="729" customFormat="1" ht="15.6">
      <c r="A9" s="875" t="s">
        <v>1854</v>
      </c>
    </row>
    <row r="10" spans="1:10" s="729" customFormat="1" ht="15.6">
      <c r="A10" s="875" t="s">
        <v>1855</v>
      </c>
    </row>
    <row r="11" spans="1:10" s="729" customFormat="1" ht="15.6">
      <c r="A11" s="875" t="s">
        <v>1856</v>
      </c>
    </row>
    <row r="12" spans="1:10" s="729" customFormat="1" ht="15.6">
      <c r="A12" s="875" t="s">
        <v>1857</v>
      </c>
    </row>
    <row r="13" spans="1:10" s="729" customFormat="1" ht="15.6">
      <c r="A13" s="875" t="s">
        <v>1858</v>
      </c>
    </row>
    <row r="14" spans="1:10" s="729" customFormat="1" ht="15.6">
      <c r="A14" s="875" t="s">
        <v>1859</v>
      </c>
    </row>
    <row r="15" spans="1:10" s="729" customFormat="1" ht="15.6">
      <c r="A15" s="875" t="s">
        <v>1860</v>
      </c>
    </row>
    <row r="16" spans="1:10" s="729" customFormat="1" ht="16.2" thickBot="1">
      <c r="A16" s="728"/>
    </row>
    <row r="17" spans="1:3" s="729" customFormat="1" ht="16.2" thickBot="1">
      <c r="A17" s="742"/>
      <c r="B17" s="747" t="s">
        <v>1747</v>
      </c>
      <c r="C17" s="747" t="s">
        <v>1748</v>
      </c>
    </row>
    <row r="18" spans="1:3" s="729" customFormat="1" ht="16.2" thickBot="1">
      <c r="A18" s="743" t="s">
        <v>886</v>
      </c>
      <c r="B18" s="1037">
        <v>288</v>
      </c>
      <c r="C18" s="1037">
        <v>260</v>
      </c>
    </row>
    <row r="19" spans="1:3" s="729" customFormat="1" ht="16.2" thickBot="1">
      <c r="A19" s="743" t="s">
        <v>1749</v>
      </c>
      <c r="B19" s="1037">
        <v>250</v>
      </c>
      <c r="C19" s="1037">
        <v>225</v>
      </c>
    </row>
    <row r="20" spans="1:3" s="729" customFormat="1" ht="31.5" customHeight="1">
      <c r="A20" s="1059" t="s">
        <v>1750</v>
      </c>
      <c r="B20" s="1059">
        <v>105</v>
      </c>
      <c r="C20" s="1059">
        <v>95</v>
      </c>
    </row>
    <row r="21" spans="1:3" s="729" customFormat="1" ht="15" thickBot="1">
      <c r="A21" s="1060"/>
      <c r="B21" s="1060"/>
      <c r="C21" s="1060"/>
    </row>
    <row r="22" spans="1:3" s="729" customFormat="1" ht="47.4" thickBot="1">
      <c r="A22" s="743" t="s">
        <v>1751</v>
      </c>
      <c r="B22" s="1037">
        <v>108</v>
      </c>
      <c r="C22" s="1037">
        <v>98</v>
      </c>
    </row>
    <row r="23" spans="1:3" s="729" customFormat="1" ht="31.8" thickBot="1">
      <c r="A23" s="743" t="s">
        <v>1752</v>
      </c>
      <c r="B23" s="748">
        <v>1250</v>
      </c>
      <c r="C23" s="748">
        <v>1130</v>
      </c>
    </row>
    <row r="24" spans="1:3" s="729" customFormat="1" ht="15.6">
      <c r="A24" s="728"/>
    </row>
    <row r="25" spans="1:3" s="729" customFormat="1" ht="15.6">
      <c r="A25" s="728" t="s">
        <v>1753</v>
      </c>
    </row>
    <row r="26" spans="1:3" ht="15.6">
      <c r="A26" s="1036" t="s">
        <v>24</v>
      </c>
    </row>
  </sheetData>
  <mergeCells count="4">
    <mergeCell ref="A5:J5"/>
    <mergeCell ref="A20:A21"/>
    <mergeCell ref="B20:B21"/>
    <mergeCell ref="C20:C21"/>
  </mergeCells>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01085-E0FA-49A0-ABF4-E675F2746A80}">
  <sheetPr codeName="Sheet27"/>
  <dimension ref="A1:N25"/>
  <sheetViews>
    <sheetView topLeftCell="A11" workbookViewId="0"/>
  </sheetViews>
  <sheetFormatPr defaultColWidth="8.77734375" defaultRowHeight="14.4"/>
  <cols>
    <col min="1" max="1" width="46.21875" style="67" customWidth="1"/>
    <col min="2" max="2" width="13.21875" style="67" customWidth="1"/>
    <col min="3" max="16384" width="8.77734375" style="67"/>
  </cols>
  <sheetData>
    <row r="1" spans="1:14" ht="17.399999999999999">
      <c r="A1" s="65" t="s">
        <v>225</v>
      </c>
      <c r="B1" s="66"/>
      <c r="C1" s="66"/>
      <c r="D1" s="66"/>
      <c r="E1" s="66"/>
      <c r="F1" s="66"/>
      <c r="G1" s="66"/>
      <c r="H1" s="66"/>
      <c r="I1" s="66"/>
      <c r="J1" s="66"/>
      <c r="K1" s="66"/>
      <c r="L1" s="66"/>
      <c r="M1" s="66"/>
      <c r="N1" s="66"/>
    </row>
    <row r="2" spans="1:14" ht="15.6">
      <c r="A2" s="68" t="s">
        <v>226</v>
      </c>
      <c r="B2" s="66"/>
      <c r="C2" s="66"/>
      <c r="D2" s="66"/>
      <c r="E2" s="66"/>
      <c r="F2" s="66"/>
      <c r="G2" s="66"/>
      <c r="H2" s="66"/>
      <c r="I2" s="66"/>
      <c r="J2" s="66"/>
      <c r="K2" s="66"/>
      <c r="L2" s="66"/>
      <c r="M2" s="66"/>
      <c r="N2" s="66"/>
    </row>
    <row r="3" spans="1:14" ht="15.6">
      <c r="A3" s="68" t="s">
        <v>227</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228</v>
      </c>
      <c r="B5" s="66"/>
      <c r="C5" s="66"/>
      <c r="D5" s="66"/>
      <c r="E5" s="66"/>
      <c r="F5" s="66"/>
      <c r="G5" s="66"/>
      <c r="H5" s="66"/>
      <c r="I5" s="66"/>
      <c r="J5" s="66"/>
      <c r="K5" s="66"/>
      <c r="L5" s="66"/>
      <c r="M5" s="66"/>
      <c r="N5" s="66"/>
    </row>
    <row r="6" spans="1:14" ht="16.2" thickBot="1">
      <c r="A6" s="70"/>
      <c r="B6" s="66"/>
      <c r="C6" s="66"/>
      <c r="D6" s="66"/>
      <c r="E6" s="66"/>
      <c r="F6" s="66"/>
      <c r="G6" s="66"/>
      <c r="H6" s="66"/>
      <c r="I6" s="66"/>
      <c r="J6" s="66"/>
      <c r="K6" s="66"/>
      <c r="L6" s="66"/>
      <c r="M6" s="66"/>
      <c r="N6" s="66"/>
    </row>
    <row r="7" spans="1:14" ht="15.6" customHeight="1" thickBot="1">
      <c r="A7" s="121" t="s">
        <v>229</v>
      </c>
      <c r="B7" s="122">
        <v>42370</v>
      </c>
      <c r="C7" s="66"/>
      <c r="D7" s="66"/>
      <c r="E7" s="66"/>
      <c r="F7" s="66"/>
      <c r="G7" s="66"/>
      <c r="H7" s="66"/>
      <c r="I7" s="66"/>
      <c r="J7" s="66"/>
      <c r="K7" s="66"/>
      <c r="L7" s="66"/>
      <c r="M7" s="66"/>
      <c r="N7" s="66"/>
    </row>
    <row r="8" spans="1:14" ht="15.6" customHeight="1" thickBot="1">
      <c r="A8" s="123" t="s">
        <v>230</v>
      </c>
      <c r="B8" s="124">
        <v>100000</v>
      </c>
      <c r="C8" s="66"/>
      <c r="D8" s="66"/>
      <c r="E8" s="66"/>
      <c r="F8" s="66"/>
      <c r="G8" s="66"/>
      <c r="H8" s="66"/>
      <c r="I8" s="66"/>
      <c r="J8" s="66"/>
      <c r="K8" s="66"/>
      <c r="L8" s="66"/>
      <c r="M8" s="66"/>
      <c r="N8" s="66"/>
    </row>
    <row r="9" spans="1:14" ht="15.6" customHeight="1" thickBot="1">
      <c r="A9" s="121" t="s">
        <v>231</v>
      </c>
      <c r="B9" s="125">
        <v>4.4999999999999998E-2</v>
      </c>
      <c r="C9" s="66"/>
      <c r="D9" s="66"/>
      <c r="E9" s="66"/>
      <c r="F9" s="66"/>
      <c r="G9" s="66"/>
      <c r="H9" s="66"/>
      <c r="I9" s="66"/>
      <c r="J9" s="66"/>
      <c r="K9" s="66"/>
      <c r="L9" s="66"/>
      <c r="M9" s="66"/>
      <c r="N9" s="66"/>
    </row>
    <row r="10" spans="1:14" ht="32.1" customHeight="1" thickBot="1">
      <c r="A10" s="126" t="s">
        <v>232</v>
      </c>
      <c r="B10" s="127">
        <v>50</v>
      </c>
      <c r="C10" s="66"/>
      <c r="D10" s="66"/>
      <c r="E10" s="66"/>
      <c r="F10" s="66"/>
      <c r="G10" s="66"/>
      <c r="H10" s="66"/>
      <c r="I10" s="66"/>
      <c r="J10" s="66"/>
      <c r="K10" s="66"/>
      <c r="L10" s="66"/>
      <c r="M10" s="66"/>
      <c r="N10" s="66"/>
    </row>
    <row r="11" spans="1:14" ht="16.2" thickBot="1">
      <c r="A11" s="70"/>
      <c r="B11" s="66"/>
      <c r="C11" s="66"/>
      <c r="D11" s="66"/>
      <c r="E11" s="66"/>
      <c r="F11" s="66"/>
      <c r="G11" s="66"/>
      <c r="H11" s="66"/>
      <c r="I11" s="66"/>
      <c r="J11" s="66"/>
      <c r="K11" s="66"/>
      <c r="L11" s="66"/>
      <c r="M11" s="66"/>
      <c r="N11" s="66"/>
    </row>
    <row r="12" spans="1:14" ht="16.2" thickBot="1">
      <c r="A12" s="128"/>
      <c r="B12" s="129">
        <v>2016</v>
      </c>
      <c r="C12" s="129">
        <v>2017</v>
      </c>
      <c r="D12" s="129">
        <v>2018</v>
      </c>
      <c r="E12" s="129">
        <v>2019</v>
      </c>
      <c r="F12" s="129">
        <v>2020</v>
      </c>
      <c r="G12" s="66"/>
      <c r="H12" s="66"/>
      <c r="I12" s="66"/>
      <c r="J12" s="66"/>
      <c r="K12" s="66"/>
      <c r="L12" s="66"/>
      <c r="M12" s="66"/>
      <c r="N12" s="66"/>
    </row>
    <row r="13" spans="1:14" ht="15.6" customHeight="1" thickBot="1">
      <c r="A13" s="123" t="s">
        <v>233</v>
      </c>
      <c r="B13" s="130">
        <v>1.0999999999999999E-2</v>
      </c>
      <c r="C13" s="130">
        <v>1.0999999999999999E-2</v>
      </c>
      <c r="D13" s="130">
        <v>1.0999999999999999E-2</v>
      </c>
      <c r="E13" s="130">
        <v>1.0999999999999999E-2</v>
      </c>
      <c r="F13" s="130">
        <v>1.0999999999999999E-2</v>
      </c>
      <c r="G13" s="66"/>
      <c r="H13" s="66"/>
      <c r="I13" s="66"/>
      <c r="J13" s="66"/>
      <c r="K13" s="66"/>
      <c r="L13" s="66"/>
      <c r="M13" s="66"/>
      <c r="N13" s="66"/>
    </row>
    <row r="14" spans="1:14" ht="15.6" customHeight="1" thickBot="1">
      <c r="A14" s="121" t="s">
        <v>234</v>
      </c>
      <c r="B14" s="131">
        <v>8.9999999999999993E-3</v>
      </c>
      <c r="C14" s="131">
        <v>9.9000000000000008E-3</v>
      </c>
      <c r="D14" s="131">
        <v>1.09E-2</v>
      </c>
      <c r="E14" s="131">
        <v>1.2E-2</v>
      </c>
      <c r="F14" s="131">
        <v>1.32E-2</v>
      </c>
      <c r="G14" s="66"/>
      <c r="H14" s="66"/>
      <c r="I14" s="66"/>
      <c r="J14" s="66"/>
      <c r="K14" s="66"/>
      <c r="L14" s="66"/>
      <c r="M14" s="66"/>
      <c r="N14" s="66"/>
    </row>
    <row r="15" spans="1:14" ht="15.6">
      <c r="A15" s="71"/>
      <c r="B15" s="66"/>
      <c r="C15" s="66"/>
      <c r="D15" s="66"/>
      <c r="E15" s="66"/>
      <c r="F15" s="66"/>
      <c r="G15" s="66"/>
      <c r="H15" s="66"/>
      <c r="I15" s="66"/>
      <c r="J15" s="66"/>
      <c r="K15" s="66"/>
      <c r="L15" s="66"/>
      <c r="M15" s="66"/>
      <c r="N15" s="66"/>
    </row>
    <row r="16" spans="1:14" ht="15.6">
      <c r="A16" s="70" t="s">
        <v>236</v>
      </c>
      <c r="B16" s="66"/>
      <c r="C16" s="66"/>
      <c r="D16" s="66"/>
      <c r="E16" s="66"/>
      <c r="F16" s="66"/>
      <c r="G16" s="66"/>
      <c r="H16" s="66"/>
      <c r="I16" s="66"/>
      <c r="J16" s="66"/>
      <c r="K16" s="66"/>
      <c r="L16" s="66"/>
      <c r="M16" s="66"/>
      <c r="N16" s="66"/>
    </row>
    <row r="17" spans="1:14" ht="16.2" thickBot="1">
      <c r="A17" s="70"/>
      <c r="B17" s="66"/>
      <c r="C17" s="66"/>
      <c r="D17" s="66"/>
      <c r="E17" s="66"/>
      <c r="F17" s="66"/>
      <c r="G17" s="66"/>
      <c r="H17" s="66"/>
      <c r="I17" s="66"/>
      <c r="J17" s="66"/>
      <c r="K17" s="66"/>
      <c r="L17" s="66"/>
      <c r="M17" s="66"/>
      <c r="N17" s="66"/>
    </row>
    <row r="18" spans="1:14" ht="16.2" thickBot="1">
      <c r="A18" s="121" t="s">
        <v>237</v>
      </c>
      <c r="B18" s="131">
        <v>250</v>
      </c>
      <c r="C18" s="66"/>
      <c r="D18" s="66"/>
      <c r="E18" s="66"/>
      <c r="F18" s="66"/>
      <c r="G18" s="66"/>
      <c r="H18" s="66"/>
      <c r="I18" s="66"/>
      <c r="J18" s="66"/>
      <c r="K18" s="66"/>
      <c r="L18" s="66"/>
      <c r="M18" s="66"/>
      <c r="N18" s="66"/>
    </row>
    <row r="19" spans="1:14" ht="16.2" thickBot="1">
      <c r="A19" s="123" t="s">
        <v>238</v>
      </c>
      <c r="B19" s="130">
        <v>200</v>
      </c>
      <c r="C19" s="66"/>
      <c r="D19" s="66"/>
      <c r="E19" s="66"/>
      <c r="F19" s="66"/>
      <c r="G19" s="66"/>
      <c r="H19" s="66"/>
      <c r="I19" s="66"/>
      <c r="J19" s="66"/>
      <c r="K19" s="66"/>
      <c r="L19" s="66"/>
      <c r="M19" s="66"/>
      <c r="N19" s="66"/>
    </row>
    <row r="20" spans="1:14" ht="16.2" thickBot="1">
      <c r="A20" s="121" t="s">
        <v>239</v>
      </c>
      <c r="B20" s="131">
        <v>40</v>
      </c>
      <c r="C20" s="66"/>
      <c r="D20" s="66"/>
      <c r="E20" s="66"/>
      <c r="F20" s="66"/>
      <c r="G20" s="66"/>
      <c r="H20" s="66"/>
      <c r="I20" s="66"/>
      <c r="J20" s="66"/>
      <c r="K20" s="66"/>
      <c r="L20" s="66"/>
      <c r="M20" s="66"/>
      <c r="N20" s="66"/>
    </row>
    <row r="21" spans="1:14" ht="16.2" thickBot="1">
      <c r="A21" s="123" t="s">
        <v>240</v>
      </c>
      <c r="B21" s="130">
        <v>10</v>
      </c>
      <c r="C21" s="66"/>
      <c r="D21" s="66"/>
      <c r="E21" s="66"/>
      <c r="F21" s="66"/>
      <c r="G21" s="66"/>
      <c r="H21" s="66"/>
      <c r="I21" s="66"/>
      <c r="J21" s="66"/>
      <c r="K21" s="66"/>
      <c r="L21" s="66"/>
      <c r="M21" s="66"/>
      <c r="N21" s="66"/>
    </row>
    <row r="22" spans="1:14" ht="31.8" thickBot="1">
      <c r="A22" s="121" t="s">
        <v>241</v>
      </c>
      <c r="B22" s="131">
        <v>5</v>
      </c>
      <c r="C22" s="66"/>
      <c r="D22" s="66"/>
      <c r="E22" s="66"/>
      <c r="F22" s="66"/>
      <c r="G22" s="66"/>
      <c r="H22" s="66"/>
      <c r="I22" s="66"/>
      <c r="J22" s="66"/>
      <c r="K22" s="66"/>
      <c r="L22" s="66"/>
      <c r="M22" s="66"/>
      <c r="N22" s="66"/>
    </row>
    <row r="23" spans="1:14" ht="15.6">
      <c r="A23" s="71"/>
      <c r="B23" s="66"/>
      <c r="C23" s="66"/>
      <c r="D23" s="66"/>
      <c r="E23" s="66"/>
      <c r="F23" s="66"/>
      <c r="G23" s="66"/>
      <c r="H23" s="66"/>
      <c r="I23" s="66"/>
      <c r="J23" s="66"/>
      <c r="K23" s="66"/>
      <c r="L23" s="66"/>
      <c r="M23" s="66"/>
      <c r="N23" s="66"/>
    </row>
    <row r="24" spans="1:14" ht="15.6">
      <c r="A24" s="70" t="s">
        <v>242</v>
      </c>
      <c r="B24" s="66"/>
      <c r="C24" s="66"/>
      <c r="D24" s="66"/>
      <c r="E24" s="66"/>
      <c r="F24" s="66"/>
      <c r="G24" s="66"/>
      <c r="H24" s="66"/>
      <c r="I24" s="66"/>
      <c r="J24" s="66"/>
      <c r="K24" s="66"/>
      <c r="L24" s="66"/>
      <c r="M24" s="66"/>
      <c r="N24" s="66"/>
    </row>
    <row r="25" spans="1:14" ht="15.6">
      <c r="A25" s="107" t="s">
        <v>24</v>
      </c>
    </row>
  </sheetData>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75389-7C8B-48DA-8D57-B7A1398EF0E0}">
  <sheetPr codeName="Sheet28"/>
  <dimension ref="A1:N44"/>
  <sheetViews>
    <sheetView topLeftCell="A3" workbookViewId="0"/>
  </sheetViews>
  <sheetFormatPr defaultColWidth="8.77734375" defaultRowHeight="14.4"/>
  <cols>
    <col min="1" max="1" width="31.5546875" style="67" customWidth="1"/>
    <col min="2" max="2" width="19.77734375" style="67" customWidth="1"/>
    <col min="3" max="13" width="8.77734375" style="67"/>
    <col min="14" max="14" width="18.21875" style="67" customWidth="1"/>
    <col min="15" max="16384" width="8.77734375" style="67"/>
  </cols>
  <sheetData>
    <row r="1" spans="1:14" ht="17.399999999999999">
      <c r="A1" s="65" t="s">
        <v>243</v>
      </c>
      <c r="B1" s="66"/>
      <c r="C1" s="66"/>
      <c r="D1" s="66"/>
      <c r="E1" s="66"/>
      <c r="F1" s="66"/>
      <c r="G1" s="66"/>
      <c r="H1" s="66"/>
      <c r="I1" s="66"/>
      <c r="J1" s="66"/>
      <c r="K1" s="66"/>
      <c r="L1" s="66"/>
      <c r="M1" s="66"/>
      <c r="N1" s="66"/>
    </row>
    <row r="2" spans="1:14" ht="15.6">
      <c r="A2" s="68" t="s">
        <v>244</v>
      </c>
      <c r="B2" s="66"/>
      <c r="C2" s="66"/>
      <c r="D2" s="66"/>
      <c r="E2" s="66"/>
      <c r="F2" s="66"/>
      <c r="G2" s="66"/>
      <c r="H2" s="66"/>
      <c r="I2" s="66"/>
      <c r="J2" s="66"/>
      <c r="K2" s="66"/>
      <c r="L2" s="66"/>
      <c r="M2" s="66"/>
      <c r="N2" s="66"/>
    </row>
    <row r="3" spans="1:14" ht="15.6">
      <c r="A3" s="68" t="s">
        <v>245</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246</v>
      </c>
      <c r="B5" s="66"/>
      <c r="C5" s="66"/>
      <c r="D5" s="66"/>
      <c r="E5" s="66"/>
      <c r="F5" s="66"/>
      <c r="G5" s="66"/>
      <c r="H5" s="66"/>
      <c r="I5" s="66"/>
      <c r="J5" s="66"/>
      <c r="K5" s="66"/>
      <c r="L5" s="66"/>
      <c r="M5" s="66"/>
      <c r="N5" s="66"/>
    </row>
    <row r="6" spans="1:14" ht="15.6">
      <c r="A6" s="70" t="s">
        <v>247</v>
      </c>
      <c r="B6" s="66"/>
      <c r="C6" s="66"/>
      <c r="D6" s="66"/>
      <c r="E6" s="66"/>
      <c r="F6" s="66"/>
      <c r="G6" s="66"/>
      <c r="H6" s="66"/>
      <c r="I6" s="66"/>
      <c r="J6" s="66"/>
      <c r="K6" s="66"/>
      <c r="L6" s="66"/>
      <c r="M6" s="66"/>
      <c r="N6" s="66"/>
    </row>
    <row r="7" spans="1:14" ht="15.6">
      <c r="A7" s="70"/>
      <c r="B7" s="66"/>
      <c r="C7" s="66"/>
      <c r="D7" s="66"/>
      <c r="E7" s="66"/>
      <c r="F7" s="66"/>
      <c r="G7" s="66"/>
      <c r="H7" s="66"/>
      <c r="I7" s="66"/>
      <c r="J7" s="66"/>
      <c r="K7" s="66"/>
      <c r="L7" s="66"/>
      <c r="M7" s="66"/>
      <c r="N7" s="66"/>
    </row>
    <row r="8" spans="1:14" ht="15.6">
      <c r="A8" s="70" t="s">
        <v>248</v>
      </c>
      <c r="B8" s="66"/>
      <c r="C8" s="66"/>
      <c r="D8" s="66"/>
      <c r="E8" s="66"/>
      <c r="F8" s="66"/>
      <c r="G8" s="66"/>
      <c r="H8" s="66"/>
      <c r="I8" s="66"/>
      <c r="J8" s="66"/>
      <c r="K8" s="66"/>
      <c r="L8" s="66"/>
      <c r="M8" s="66"/>
      <c r="N8" s="66"/>
    </row>
    <row r="9" spans="1:14" ht="16.2" thickBot="1">
      <c r="A9" s="70"/>
      <c r="B9" s="66"/>
      <c r="C9" s="66"/>
      <c r="D9" s="66"/>
      <c r="E9" s="66"/>
      <c r="F9" s="66"/>
      <c r="G9" s="66"/>
      <c r="H9" s="66"/>
      <c r="I9" s="66"/>
      <c r="J9" s="66"/>
      <c r="K9" s="66"/>
      <c r="L9" s="66"/>
      <c r="M9" s="66"/>
      <c r="N9" s="66"/>
    </row>
    <row r="10" spans="1:14" ht="15.6" customHeight="1" thickBot="1">
      <c r="A10" s="110" t="s">
        <v>249</v>
      </c>
      <c r="B10" s="132">
        <v>2</v>
      </c>
      <c r="C10" s="66"/>
      <c r="D10" s="66"/>
      <c r="E10" s="66"/>
      <c r="F10" s="66"/>
      <c r="G10" s="66"/>
      <c r="H10" s="66"/>
      <c r="I10" s="66"/>
      <c r="J10" s="66"/>
      <c r="K10" s="66"/>
      <c r="L10" s="66"/>
      <c r="M10" s="66"/>
      <c r="N10" s="66"/>
    </row>
    <row r="11" spans="1:14" ht="15.6" customHeight="1" thickBot="1">
      <c r="A11" s="112" t="s">
        <v>250</v>
      </c>
      <c r="B11" s="133">
        <v>10</v>
      </c>
      <c r="C11" s="66"/>
      <c r="D11" s="66"/>
      <c r="E11" s="66"/>
      <c r="F11" s="66"/>
      <c r="G11" s="66"/>
      <c r="H11" s="66"/>
      <c r="I11" s="66"/>
      <c r="J11" s="66"/>
      <c r="K11" s="66"/>
      <c r="L11" s="66"/>
      <c r="M11" s="66"/>
      <c r="N11" s="66"/>
    </row>
    <row r="12" spans="1:14" ht="15.6" customHeight="1" thickBot="1">
      <c r="A12" s="112" t="s">
        <v>251</v>
      </c>
      <c r="B12" s="133">
        <v>5</v>
      </c>
      <c r="C12" s="66"/>
      <c r="D12" s="66"/>
      <c r="E12" s="66"/>
      <c r="F12" s="66"/>
      <c r="G12" s="66"/>
      <c r="H12" s="66"/>
      <c r="I12" s="66"/>
      <c r="J12" s="66"/>
      <c r="K12" s="66"/>
      <c r="L12" s="66"/>
      <c r="M12" s="66"/>
      <c r="N12" s="66"/>
    </row>
    <row r="13" spans="1:14" ht="33.6" customHeight="1" thickBot="1">
      <c r="A13" s="112" t="s">
        <v>252</v>
      </c>
      <c r="B13" s="134">
        <v>7500</v>
      </c>
      <c r="C13" s="66"/>
      <c r="D13" s="66"/>
      <c r="E13" s="66"/>
      <c r="F13" s="66"/>
      <c r="G13" s="66"/>
      <c r="H13" s="66"/>
      <c r="I13" s="66"/>
      <c r="J13" s="66"/>
      <c r="K13" s="66"/>
      <c r="L13" s="66"/>
      <c r="M13" s="66"/>
      <c r="N13" s="66"/>
    </row>
    <row r="14" spans="1:14" ht="15.6" customHeight="1" thickBot="1">
      <c r="A14" s="112" t="s">
        <v>253</v>
      </c>
      <c r="B14" s="133">
        <v>500</v>
      </c>
      <c r="C14" s="66"/>
      <c r="D14" s="66"/>
      <c r="E14" s="66"/>
      <c r="F14" s="66"/>
      <c r="G14" s="66"/>
      <c r="H14" s="66"/>
      <c r="I14" s="66"/>
      <c r="J14" s="66"/>
      <c r="K14" s="66"/>
      <c r="L14" s="66"/>
      <c r="M14" s="66"/>
      <c r="N14" s="66"/>
    </row>
    <row r="15" spans="1:14" ht="31.05" customHeight="1">
      <c r="A15" s="117" t="s">
        <v>254</v>
      </c>
      <c r="B15" s="1156">
        <v>200</v>
      </c>
      <c r="C15" s="66"/>
      <c r="D15" s="66"/>
      <c r="E15" s="66"/>
      <c r="F15" s="66"/>
      <c r="G15" s="66"/>
      <c r="H15" s="66"/>
      <c r="I15" s="66"/>
      <c r="J15" s="66"/>
      <c r="K15" s="66"/>
      <c r="L15" s="66"/>
      <c r="M15" s="66"/>
      <c r="N15" s="66"/>
    </row>
    <row r="16" spans="1:14" ht="19.05" customHeight="1" thickBot="1">
      <c r="A16" s="112" t="s">
        <v>255</v>
      </c>
      <c r="B16" s="1157"/>
      <c r="C16" s="66"/>
      <c r="D16" s="66"/>
      <c r="E16" s="66"/>
      <c r="F16" s="66"/>
      <c r="G16" s="66"/>
      <c r="H16" s="66"/>
      <c r="I16" s="66"/>
      <c r="J16" s="66"/>
      <c r="K16" s="66"/>
      <c r="L16" s="66"/>
      <c r="M16" s="66"/>
      <c r="N16" s="66"/>
    </row>
    <row r="17" spans="1:14" ht="28.5" customHeight="1">
      <c r="A17" s="117" t="s">
        <v>254</v>
      </c>
      <c r="B17" s="1156">
        <v>100</v>
      </c>
      <c r="C17" s="66"/>
      <c r="D17" s="66"/>
      <c r="E17" s="66"/>
      <c r="F17" s="66"/>
      <c r="G17" s="66"/>
      <c r="H17" s="66"/>
      <c r="I17" s="66"/>
      <c r="J17" s="66"/>
      <c r="K17" s="66"/>
      <c r="L17" s="66"/>
      <c r="M17" s="66"/>
      <c r="N17" s="66"/>
    </row>
    <row r="18" spans="1:14" ht="35.549999999999997" customHeight="1" thickBot="1">
      <c r="A18" s="112" t="s">
        <v>256</v>
      </c>
      <c r="B18" s="1157"/>
      <c r="C18" s="66"/>
      <c r="D18" s="66"/>
      <c r="E18" s="66"/>
      <c r="F18" s="66"/>
      <c r="G18" s="66"/>
      <c r="H18" s="66"/>
      <c r="I18" s="66"/>
      <c r="J18" s="66"/>
      <c r="K18" s="66"/>
      <c r="L18" s="66"/>
      <c r="M18" s="66"/>
      <c r="N18" s="66"/>
    </row>
    <row r="19" spans="1:14" ht="15.6" customHeight="1" thickBot="1">
      <c r="A19" s="112" t="s">
        <v>257</v>
      </c>
      <c r="B19" s="133">
        <v>10</v>
      </c>
      <c r="C19" s="66"/>
      <c r="D19" s="66"/>
      <c r="E19" s="66"/>
      <c r="F19" s="66"/>
      <c r="G19" s="66"/>
      <c r="H19" s="66"/>
      <c r="I19" s="66"/>
      <c r="J19" s="66"/>
      <c r="K19" s="66"/>
      <c r="L19" s="66"/>
      <c r="M19" s="66"/>
      <c r="N19" s="66"/>
    </row>
    <row r="20" spans="1:14" ht="15.6" customHeight="1" thickBot="1">
      <c r="A20" s="112" t="s">
        <v>258</v>
      </c>
      <c r="B20" s="133">
        <v>40</v>
      </c>
      <c r="C20" s="66"/>
      <c r="D20" s="66"/>
      <c r="E20" s="66"/>
      <c r="F20" s="66"/>
      <c r="G20" s="66"/>
      <c r="H20" s="66"/>
      <c r="I20" s="66"/>
      <c r="J20" s="66"/>
      <c r="K20" s="66"/>
      <c r="L20" s="66"/>
      <c r="M20" s="66"/>
      <c r="N20" s="66"/>
    </row>
    <row r="21" spans="1:14" ht="15.6" customHeight="1" thickBot="1">
      <c r="A21" s="112" t="s">
        <v>259</v>
      </c>
      <c r="B21" s="133">
        <v>0</v>
      </c>
      <c r="C21" s="66"/>
      <c r="D21" s="66"/>
      <c r="E21" s="66"/>
      <c r="F21" s="66"/>
      <c r="G21" s="66"/>
      <c r="H21" s="66"/>
      <c r="I21" s="66"/>
      <c r="J21" s="66"/>
      <c r="K21" s="66"/>
      <c r="L21" s="66"/>
      <c r="M21" s="66"/>
      <c r="N21" s="66"/>
    </row>
    <row r="22" spans="1:14" ht="15.6">
      <c r="A22" s="70"/>
      <c r="B22" s="66"/>
      <c r="C22" s="66"/>
      <c r="D22" s="66"/>
      <c r="E22" s="66"/>
      <c r="F22" s="66"/>
      <c r="G22" s="66"/>
      <c r="H22" s="66"/>
      <c r="I22" s="66"/>
      <c r="J22" s="66"/>
      <c r="K22" s="66"/>
      <c r="L22" s="66"/>
      <c r="M22" s="66"/>
      <c r="N22" s="66"/>
    </row>
    <row r="23" spans="1:14" ht="15.6">
      <c r="A23" s="70" t="s">
        <v>260</v>
      </c>
      <c r="B23" s="66"/>
      <c r="C23" s="66"/>
      <c r="D23" s="66"/>
      <c r="E23" s="66"/>
      <c r="F23" s="66"/>
      <c r="G23" s="66"/>
      <c r="H23" s="66"/>
      <c r="I23" s="66"/>
      <c r="J23" s="66"/>
      <c r="K23" s="66"/>
      <c r="L23" s="66"/>
      <c r="M23" s="66"/>
      <c r="N23" s="66"/>
    </row>
    <row r="24" spans="1:14" ht="15.6">
      <c r="A24" s="70"/>
      <c r="B24" s="66"/>
      <c r="C24" s="66"/>
      <c r="D24" s="66"/>
      <c r="E24" s="66"/>
      <c r="F24" s="66"/>
      <c r="G24" s="66"/>
      <c r="H24" s="66"/>
      <c r="I24" s="66"/>
      <c r="J24" s="66"/>
      <c r="K24" s="66"/>
      <c r="L24" s="66"/>
      <c r="M24" s="66"/>
      <c r="N24" s="66"/>
    </row>
    <row r="25" spans="1:14">
      <c r="A25" s="66"/>
      <c r="B25" s="66"/>
      <c r="C25" s="66"/>
      <c r="D25" s="66"/>
      <c r="E25" s="66"/>
      <c r="F25" s="66"/>
      <c r="G25" s="66"/>
      <c r="H25" s="66"/>
      <c r="I25" s="66"/>
      <c r="J25" s="66"/>
      <c r="K25" s="66"/>
      <c r="L25" s="66"/>
      <c r="M25" s="66"/>
      <c r="N25" s="66"/>
    </row>
    <row r="26" spans="1:14" ht="15.6">
      <c r="A26" s="70"/>
      <c r="B26" s="66"/>
      <c r="C26" s="66"/>
      <c r="D26" s="66"/>
      <c r="E26" s="66"/>
      <c r="F26" s="66"/>
      <c r="G26" s="66"/>
      <c r="H26" s="66"/>
      <c r="I26" s="66"/>
      <c r="J26" s="66"/>
      <c r="K26" s="66"/>
      <c r="L26" s="66"/>
      <c r="M26" s="66"/>
      <c r="N26" s="66"/>
    </row>
    <row r="27" spans="1:14" ht="16.2" thickBot="1">
      <c r="A27" s="70"/>
      <c r="B27" s="66"/>
      <c r="C27" s="66"/>
      <c r="D27" s="66"/>
      <c r="E27" s="66"/>
      <c r="F27" s="66"/>
      <c r="G27" s="66"/>
      <c r="H27" s="66"/>
      <c r="I27" s="66"/>
      <c r="J27" s="66"/>
      <c r="K27" s="66"/>
      <c r="L27" s="66"/>
      <c r="M27" s="66"/>
      <c r="N27" s="66"/>
    </row>
    <row r="28" spans="1:14" ht="16.2" thickBot="1">
      <c r="A28" s="1140" t="s">
        <v>261</v>
      </c>
      <c r="B28" s="1142"/>
      <c r="C28" s="66"/>
      <c r="D28" s="66"/>
      <c r="E28" s="66"/>
      <c r="F28" s="66"/>
      <c r="G28" s="66"/>
      <c r="H28" s="66"/>
      <c r="I28" s="66"/>
      <c r="J28" s="66"/>
      <c r="K28" s="66"/>
      <c r="L28" s="66"/>
      <c r="M28" s="66"/>
      <c r="N28" s="66"/>
    </row>
    <row r="29" spans="1:14" ht="15.6" customHeight="1" thickBot="1">
      <c r="A29" s="112" t="s">
        <v>262</v>
      </c>
      <c r="B29" s="136" t="s">
        <v>263</v>
      </c>
      <c r="C29" s="66"/>
      <c r="D29" s="66"/>
      <c r="E29" s="66"/>
      <c r="F29" s="66"/>
      <c r="G29" s="66"/>
      <c r="H29" s="66"/>
      <c r="I29" s="66"/>
      <c r="J29" s="66"/>
      <c r="K29" s="66"/>
      <c r="L29" s="66"/>
      <c r="M29" s="66"/>
      <c r="N29" s="66"/>
    </row>
    <row r="30" spans="1:14" ht="15.6" customHeight="1" thickBot="1">
      <c r="A30" s="137" t="s">
        <v>264</v>
      </c>
      <c r="B30" s="138">
        <v>2.3E-3</v>
      </c>
      <c r="C30" s="66"/>
      <c r="D30" s="66"/>
      <c r="E30" s="66"/>
      <c r="F30" s="66"/>
      <c r="G30" s="66"/>
      <c r="H30" s="66"/>
      <c r="I30" s="66"/>
      <c r="J30" s="66"/>
      <c r="K30" s="66"/>
      <c r="L30" s="66"/>
      <c r="M30" s="66"/>
      <c r="N30" s="66"/>
    </row>
    <row r="31" spans="1:14" ht="15.6" customHeight="1" thickBot="1">
      <c r="A31" s="137" t="s">
        <v>265</v>
      </c>
      <c r="B31" s="138">
        <v>1.5E-3</v>
      </c>
      <c r="C31" s="66"/>
      <c r="D31" s="66"/>
      <c r="E31" s="66"/>
      <c r="F31" s="66"/>
      <c r="G31" s="66"/>
      <c r="H31" s="66"/>
      <c r="I31" s="66"/>
      <c r="J31" s="66"/>
      <c r="K31" s="66"/>
      <c r="L31" s="66"/>
      <c r="M31" s="66"/>
      <c r="N31" s="66"/>
    </row>
    <row r="32" spans="1:14" ht="15.6" customHeight="1" thickBot="1">
      <c r="A32" s="137" t="s">
        <v>266</v>
      </c>
      <c r="B32" s="138">
        <v>1.1999999999999999E-3</v>
      </c>
      <c r="C32" s="66"/>
      <c r="D32" s="66"/>
      <c r="E32" s="66"/>
      <c r="F32" s="66"/>
      <c r="G32" s="66"/>
      <c r="H32" s="66"/>
      <c r="I32" s="66"/>
      <c r="J32" s="66"/>
      <c r="K32" s="66"/>
      <c r="L32" s="66"/>
      <c r="M32" s="66"/>
      <c r="N32" s="66"/>
    </row>
    <row r="33" spans="1:14" ht="15.6" customHeight="1" thickBot="1">
      <c r="A33" s="137" t="s">
        <v>267</v>
      </c>
      <c r="B33" s="138">
        <v>8.9999999999999998E-4</v>
      </c>
      <c r="C33" s="66"/>
      <c r="D33" s="66"/>
      <c r="E33" s="66"/>
      <c r="F33" s="66"/>
      <c r="G33" s="66"/>
      <c r="H33" s="66"/>
      <c r="I33" s="66"/>
      <c r="J33" s="66"/>
      <c r="K33" s="66"/>
      <c r="L33" s="66"/>
      <c r="M33" s="66"/>
      <c r="N33" s="66"/>
    </row>
    <row r="34" spans="1:14" ht="15.6" customHeight="1" thickBot="1">
      <c r="A34" s="1140" t="s">
        <v>268</v>
      </c>
      <c r="B34" s="1142"/>
      <c r="C34" s="66"/>
      <c r="D34" s="66"/>
      <c r="E34" s="66"/>
      <c r="F34" s="66"/>
      <c r="G34" s="66"/>
      <c r="H34" s="66"/>
      <c r="I34" s="66"/>
      <c r="J34" s="66"/>
      <c r="K34" s="66"/>
      <c r="L34" s="66"/>
      <c r="M34" s="66"/>
      <c r="N34" s="66"/>
    </row>
    <row r="35" spans="1:14" ht="15.6" customHeight="1" thickBot="1">
      <c r="A35" s="112" t="s">
        <v>269</v>
      </c>
      <c r="B35" s="136" t="s">
        <v>263</v>
      </c>
      <c r="C35" s="66"/>
      <c r="D35" s="66"/>
      <c r="E35" s="66"/>
      <c r="F35" s="66"/>
      <c r="G35" s="66"/>
      <c r="H35" s="66"/>
      <c r="I35" s="66"/>
      <c r="J35" s="66"/>
      <c r="K35" s="66"/>
      <c r="L35" s="66"/>
      <c r="M35" s="66"/>
      <c r="N35" s="66"/>
    </row>
    <row r="36" spans="1:14" ht="16.2" thickBot="1">
      <c r="A36" s="137" t="s">
        <v>270</v>
      </c>
      <c r="B36" s="138">
        <v>7.7000000000000002E-3</v>
      </c>
      <c r="C36" s="66"/>
      <c r="D36" s="66"/>
      <c r="E36" s="66"/>
      <c r="F36" s="66"/>
      <c r="G36" s="66"/>
      <c r="H36" s="66"/>
      <c r="I36" s="66"/>
      <c r="J36" s="66"/>
      <c r="K36" s="66"/>
      <c r="L36" s="66"/>
      <c r="M36" s="66"/>
      <c r="N36" s="66"/>
    </row>
    <row r="37" spans="1:14" ht="16.2" thickBot="1">
      <c r="A37" s="137" t="s">
        <v>271</v>
      </c>
      <c r="B37" s="138">
        <v>1.54E-2</v>
      </c>
      <c r="C37" s="66"/>
      <c r="D37" s="66"/>
      <c r="E37" s="66"/>
      <c r="F37" s="66"/>
      <c r="G37" s="66"/>
      <c r="H37" s="66"/>
      <c r="I37" s="66"/>
      <c r="J37" s="66"/>
      <c r="K37" s="66"/>
      <c r="L37" s="66"/>
      <c r="M37" s="66"/>
      <c r="N37" s="66"/>
    </row>
    <row r="38" spans="1:14" ht="16.2" thickBot="1">
      <c r="A38" s="137" t="s">
        <v>272</v>
      </c>
      <c r="B38" s="138">
        <v>3.0800000000000001E-2</v>
      </c>
      <c r="C38" s="66"/>
      <c r="D38" s="66"/>
      <c r="E38" s="66"/>
      <c r="F38" s="66"/>
      <c r="G38" s="66"/>
      <c r="H38" s="66"/>
      <c r="I38" s="66"/>
      <c r="J38" s="66"/>
      <c r="K38" s="66"/>
      <c r="L38" s="66"/>
      <c r="M38" s="66"/>
      <c r="N38" s="66"/>
    </row>
    <row r="39" spans="1:14">
      <c r="A39" s="66"/>
      <c r="B39" s="66"/>
      <c r="C39" s="66"/>
      <c r="D39" s="66"/>
      <c r="E39" s="66"/>
      <c r="F39" s="66"/>
      <c r="G39" s="66"/>
      <c r="H39" s="66"/>
      <c r="I39" s="66"/>
      <c r="J39" s="66"/>
      <c r="K39" s="66"/>
      <c r="L39" s="66"/>
      <c r="M39" s="66"/>
      <c r="N39" s="66"/>
    </row>
    <row r="40" spans="1:14" ht="15.6">
      <c r="A40" s="70" t="s">
        <v>273</v>
      </c>
      <c r="B40" s="66"/>
      <c r="C40" s="66"/>
      <c r="D40" s="66"/>
      <c r="E40" s="66"/>
      <c r="F40" s="66"/>
      <c r="G40" s="66"/>
      <c r="H40" s="66"/>
      <c r="I40" s="66"/>
      <c r="J40" s="66"/>
      <c r="K40" s="66"/>
      <c r="L40" s="66"/>
      <c r="M40" s="66"/>
      <c r="N40" s="66"/>
    </row>
    <row r="41" spans="1:14" ht="15.6">
      <c r="A41" s="107" t="s">
        <v>24</v>
      </c>
    </row>
    <row r="42" spans="1:14" ht="15.6">
      <c r="A42" s="107"/>
    </row>
    <row r="43" spans="1:14" ht="15.6">
      <c r="A43" s="107"/>
    </row>
    <row r="44" spans="1:14" ht="15.6">
      <c r="A44" s="118"/>
    </row>
  </sheetData>
  <mergeCells count="4">
    <mergeCell ref="B15:B16"/>
    <mergeCell ref="B17:B18"/>
    <mergeCell ref="A28:B28"/>
    <mergeCell ref="A34:B34"/>
  </mergeCells>
  <pageMargins left="0.7" right="0.7" top="0.75" bottom="0.75" header="0.3" footer="0.3"/>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45441-42EB-4514-ADF1-E7F4C638B902}">
  <sheetPr codeName="Sheet29"/>
  <dimension ref="A1:N42"/>
  <sheetViews>
    <sheetView topLeftCell="A37" workbookViewId="0"/>
  </sheetViews>
  <sheetFormatPr defaultColWidth="8.77734375" defaultRowHeight="14.4"/>
  <cols>
    <col min="1" max="1" width="31.5546875" style="67" customWidth="1"/>
    <col min="2" max="2" width="19.77734375" style="67" customWidth="1"/>
    <col min="3" max="13" width="8.77734375" style="67"/>
    <col min="14" max="14" width="18.21875" style="67" customWidth="1"/>
    <col min="15" max="16384" width="8.77734375" style="67"/>
  </cols>
  <sheetData>
    <row r="1" spans="1:14" ht="17.399999999999999">
      <c r="A1" s="65" t="s">
        <v>243</v>
      </c>
      <c r="B1" s="66"/>
      <c r="C1" s="66"/>
      <c r="D1" s="66"/>
      <c r="E1" s="66"/>
      <c r="F1" s="66"/>
      <c r="G1" s="66"/>
      <c r="H1" s="66"/>
      <c r="I1" s="66"/>
      <c r="J1" s="66"/>
      <c r="K1" s="66"/>
      <c r="L1" s="66"/>
      <c r="M1" s="66"/>
      <c r="N1" s="66"/>
    </row>
    <row r="2" spans="1:14" ht="15.6">
      <c r="A2" s="68" t="s">
        <v>244</v>
      </c>
      <c r="B2" s="66"/>
      <c r="C2" s="66"/>
      <c r="D2" s="66"/>
      <c r="E2" s="66"/>
      <c r="F2" s="66"/>
      <c r="G2" s="66"/>
      <c r="H2" s="66"/>
      <c r="I2" s="66"/>
      <c r="J2" s="66"/>
      <c r="K2" s="66"/>
      <c r="L2" s="66"/>
      <c r="M2" s="66"/>
      <c r="N2" s="66"/>
    </row>
    <row r="3" spans="1:14" ht="15.6">
      <c r="A3" s="68" t="s">
        <v>245</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246</v>
      </c>
      <c r="B5" s="66"/>
      <c r="C5" s="66"/>
      <c r="D5" s="66"/>
      <c r="E5" s="66"/>
      <c r="F5" s="66"/>
      <c r="G5" s="66"/>
      <c r="H5" s="66"/>
      <c r="I5" s="66"/>
      <c r="J5" s="66"/>
      <c r="K5" s="66"/>
      <c r="L5" s="66"/>
      <c r="M5" s="66"/>
      <c r="N5" s="66"/>
    </row>
    <row r="6" spans="1:14" ht="15.6">
      <c r="A6" s="70" t="s">
        <v>247</v>
      </c>
      <c r="B6" s="66"/>
      <c r="C6" s="66"/>
      <c r="D6" s="66"/>
      <c r="E6" s="66"/>
      <c r="F6" s="66"/>
      <c r="G6" s="66"/>
      <c r="H6" s="66"/>
      <c r="I6" s="66"/>
      <c r="J6" s="66"/>
      <c r="K6" s="66"/>
      <c r="L6" s="66"/>
      <c r="M6" s="66"/>
      <c r="N6" s="66"/>
    </row>
    <row r="7" spans="1:14" ht="15.6">
      <c r="A7" s="70"/>
      <c r="B7" s="66"/>
      <c r="C7" s="66"/>
      <c r="D7" s="66"/>
      <c r="E7" s="66"/>
      <c r="F7" s="66"/>
      <c r="G7" s="66"/>
      <c r="H7" s="66"/>
      <c r="I7" s="66"/>
      <c r="J7" s="66"/>
      <c r="K7" s="66"/>
      <c r="L7" s="66"/>
      <c r="M7" s="66"/>
      <c r="N7" s="66"/>
    </row>
    <row r="8" spans="1:14" ht="15.6">
      <c r="A8" s="70" t="s">
        <v>248</v>
      </c>
      <c r="B8" s="66"/>
      <c r="C8" s="66"/>
      <c r="D8" s="66"/>
      <c r="E8" s="66"/>
      <c r="F8" s="66"/>
      <c r="G8" s="66"/>
      <c r="H8" s="66"/>
      <c r="I8" s="66"/>
      <c r="J8" s="66"/>
      <c r="K8" s="66"/>
      <c r="L8" s="66"/>
      <c r="M8" s="66"/>
      <c r="N8" s="66"/>
    </row>
    <row r="9" spans="1:14" ht="16.2" thickBot="1">
      <c r="A9" s="70"/>
      <c r="B9" s="66"/>
      <c r="C9" s="66"/>
      <c r="D9" s="66"/>
      <c r="E9" s="66"/>
      <c r="F9" s="66"/>
      <c r="G9" s="66"/>
      <c r="H9" s="66"/>
      <c r="I9" s="66"/>
      <c r="J9" s="66"/>
      <c r="K9" s="66"/>
      <c r="L9" s="66"/>
      <c r="M9" s="66"/>
      <c r="N9" s="66"/>
    </row>
    <row r="10" spans="1:14" ht="15.6" customHeight="1" thickBot="1">
      <c r="A10" s="110" t="s">
        <v>249</v>
      </c>
      <c r="B10" s="132">
        <v>2</v>
      </c>
      <c r="C10" s="66"/>
      <c r="D10" s="66"/>
      <c r="E10" s="66"/>
      <c r="F10" s="66"/>
      <c r="G10" s="66"/>
      <c r="H10" s="66"/>
      <c r="I10" s="66"/>
      <c r="J10" s="66"/>
      <c r="K10" s="66"/>
      <c r="L10" s="66"/>
      <c r="M10" s="66"/>
      <c r="N10" s="66"/>
    </row>
    <row r="11" spans="1:14" ht="15.6" customHeight="1" thickBot="1">
      <c r="A11" s="112" t="s">
        <v>250</v>
      </c>
      <c r="B11" s="133">
        <v>10</v>
      </c>
      <c r="C11" s="66"/>
      <c r="D11" s="66"/>
      <c r="E11" s="66"/>
      <c r="F11" s="66"/>
      <c r="G11" s="66"/>
      <c r="H11" s="66"/>
      <c r="I11" s="66"/>
      <c r="J11" s="66"/>
      <c r="K11" s="66"/>
      <c r="L11" s="66"/>
      <c r="M11" s="66"/>
      <c r="N11" s="66"/>
    </row>
    <row r="12" spans="1:14" ht="15.6" customHeight="1" thickBot="1">
      <c r="A12" s="112" t="s">
        <v>251</v>
      </c>
      <c r="B12" s="133">
        <v>5</v>
      </c>
      <c r="C12" s="66"/>
      <c r="D12" s="66"/>
      <c r="E12" s="66"/>
      <c r="F12" s="66"/>
      <c r="G12" s="66"/>
      <c r="H12" s="66"/>
      <c r="I12" s="66"/>
      <c r="J12" s="66"/>
      <c r="K12" s="66"/>
      <c r="L12" s="66"/>
      <c r="M12" s="66"/>
      <c r="N12" s="66"/>
    </row>
    <row r="13" spans="1:14" ht="33.6" customHeight="1" thickBot="1">
      <c r="A13" s="112" t="s">
        <v>252</v>
      </c>
      <c r="B13" s="134">
        <v>7500</v>
      </c>
      <c r="C13" s="66"/>
      <c r="D13" s="66"/>
      <c r="E13" s="66"/>
      <c r="F13" s="66"/>
      <c r="G13" s="66"/>
      <c r="H13" s="66"/>
      <c r="I13" s="66"/>
      <c r="J13" s="66"/>
      <c r="K13" s="66"/>
      <c r="L13" s="66"/>
      <c r="M13" s="66"/>
      <c r="N13" s="66"/>
    </row>
    <row r="14" spans="1:14" ht="15.6" customHeight="1" thickBot="1">
      <c r="A14" s="112" t="s">
        <v>253</v>
      </c>
      <c r="B14" s="133">
        <v>500</v>
      </c>
      <c r="C14" s="66"/>
      <c r="D14" s="66"/>
      <c r="E14" s="66"/>
      <c r="F14" s="66"/>
      <c r="G14" s="66"/>
      <c r="H14" s="66"/>
      <c r="I14" s="66"/>
      <c r="J14" s="66"/>
      <c r="K14" s="66"/>
      <c r="L14" s="66"/>
      <c r="M14" s="66"/>
      <c r="N14" s="66"/>
    </row>
    <row r="15" spans="1:14" ht="31.05" customHeight="1">
      <c r="A15" s="117" t="s">
        <v>254</v>
      </c>
      <c r="B15" s="1156">
        <v>200</v>
      </c>
      <c r="C15" s="66"/>
      <c r="D15" s="66"/>
      <c r="E15" s="66"/>
      <c r="F15" s="66"/>
      <c r="G15" s="66"/>
      <c r="H15" s="66"/>
      <c r="I15" s="66"/>
      <c r="J15" s="66"/>
      <c r="K15" s="66"/>
      <c r="L15" s="66"/>
      <c r="M15" s="66"/>
      <c r="N15" s="66"/>
    </row>
    <row r="16" spans="1:14" ht="19.05" customHeight="1" thickBot="1">
      <c r="A16" s="112" t="s">
        <v>255</v>
      </c>
      <c r="B16" s="1157"/>
      <c r="C16" s="66"/>
      <c r="D16" s="66"/>
      <c r="E16" s="66"/>
      <c r="F16" s="66"/>
      <c r="G16" s="66"/>
      <c r="H16" s="66"/>
      <c r="I16" s="66"/>
      <c r="J16" s="66"/>
      <c r="K16" s="66"/>
      <c r="L16" s="66"/>
      <c r="M16" s="66"/>
      <c r="N16" s="66"/>
    </row>
    <row r="17" spans="1:14" ht="28.5" customHeight="1">
      <c r="A17" s="117" t="s">
        <v>254</v>
      </c>
      <c r="B17" s="1156">
        <v>100</v>
      </c>
      <c r="C17" s="66"/>
      <c r="D17" s="66"/>
      <c r="E17" s="66"/>
      <c r="F17" s="66"/>
      <c r="G17" s="66"/>
      <c r="H17" s="66"/>
      <c r="I17" s="66"/>
      <c r="J17" s="66"/>
      <c r="K17" s="66"/>
      <c r="L17" s="66"/>
      <c r="M17" s="66"/>
      <c r="N17" s="66"/>
    </row>
    <row r="18" spans="1:14" ht="35.549999999999997" customHeight="1" thickBot="1">
      <c r="A18" s="112" t="s">
        <v>256</v>
      </c>
      <c r="B18" s="1157"/>
      <c r="C18" s="66"/>
      <c r="D18" s="66"/>
      <c r="E18" s="66"/>
      <c r="F18" s="66"/>
      <c r="G18" s="66"/>
      <c r="H18" s="66"/>
      <c r="I18" s="66"/>
      <c r="J18" s="66"/>
      <c r="K18" s="66"/>
      <c r="L18" s="66"/>
      <c r="M18" s="66"/>
      <c r="N18" s="66"/>
    </row>
    <row r="19" spans="1:14" ht="15.6" customHeight="1" thickBot="1">
      <c r="A19" s="112" t="s">
        <v>257</v>
      </c>
      <c r="B19" s="133">
        <v>10</v>
      </c>
      <c r="C19" s="66"/>
      <c r="D19" s="66"/>
      <c r="E19" s="66"/>
      <c r="F19" s="66"/>
      <c r="G19" s="66"/>
      <c r="H19" s="66"/>
      <c r="I19" s="66"/>
      <c r="J19" s="66"/>
      <c r="K19" s="66"/>
      <c r="L19" s="66"/>
      <c r="M19" s="66"/>
      <c r="N19" s="66"/>
    </row>
    <row r="20" spans="1:14" ht="15.6" customHeight="1" thickBot="1">
      <c r="A20" s="112" t="s">
        <v>258</v>
      </c>
      <c r="B20" s="133">
        <v>40</v>
      </c>
      <c r="C20" s="66"/>
      <c r="D20" s="66"/>
      <c r="E20" s="66"/>
      <c r="F20" s="66"/>
      <c r="G20" s="66"/>
      <c r="H20" s="66"/>
      <c r="I20" s="66"/>
      <c r="J20" s="66"/>
      <c r="K20" s="66"/>
      <c r="L20" s="66"/>
      <c r="M20" s="66"/>
      <c r="N20" s="66"/>
    </row>
    <row r="21" spans="1:14" ht="15.6" customHeight="1" thickBot="1">
      <c r="A21" s="112" t="s">
        <v>259</v>
      </c>
      <c r="B21" s="133">
        <v>0</v>
      </c>
      <c r="C21" s="66"/>
      <c r="D21" s="66"/>
      <c r="E21" s="66"/>
      <c r="F21" s="66"/>
      <c r="G21" s="66"/>
      <c r="H21" s="66"/>
      <c r="I21" s="66"/>
      <c r="J21" s="66"/>
      <c r="K21" s="66"/>
      <c r="L21" s="66"/>
      <c r="M21" s="66"/>
      <c r="N21" s="66"/>
    </row>
    <row r="22" spans="1:14" ht="15.6">
      <c r="A22" s="70"/>
      <c r="B22" s="66"/>
      <c r="C22" s="66"/>
      <c r="D22" s="66"/>
      <c r="E22" s="66"/>
      <c r="F22" s="66"/>
      <c r="G22" s="66"/>
      <c r="H22" s="66"/>
      <c r="I22" s="66"/>
      <c r="J22" s="66"/>
      <c r="K22" s="66"/>
      <c r="L22" s="66"/>
      <c r="M22" s="66"/>
      <c r="N22" s="66"/>
    </row>
    <row r="23" spans="1:14" ht="15.6">
      <c r="A23" s="70" t="s">
        <v>260</v>
      </c>
      <c r="B23" s="66"/>
      <c r="C23" s="66"/>
      <c r="D23" s="66"/>
      <c r="E23" s="66"/>
      <c r="F23" s="66"/>
      <c r="G23" s="66"/>
      <c r="H23" s="66"/>
      <c r="I23" s="66"/>
      <c r="J23" s="66"/>
      <c r="K23" s="66"/>
      <c r="L23" s="66"/>
      <c r="M23" s="66"/>
      <c r="N23" s="66"/>
    </row>
    <row r="24" spans="1:14" ht="15.6">
      <c r="A24" s="70"/>
      <c r="B24" s="66"/>
      <c r="C24" s="66"/>
      <c r="D24" s="66"/>
      <c r="E24" s="66"/>
      <c r="F24" s="66"/>
      <c r="G24" s="66"/>
      <c r="H24" s="66"/>
      <c r="I24" s="66"/>
      <c r="J24" s="66"/>
      <c r="K24" s="66"/>
      <c r="L24" s="66"/>
      <c r="M24" s="66"/>
      <c r="N24" s="66"/>
    </row>
    <row r="25" spans="1:14">
      <c r="A25" s="66"/>
      <c r="B25" s="66"/>
      <c r="C25" s="66"/>
      <c r="D25" s="66"/>
      <c r="E25" s="66"/>
      <c r="F25" s="66"/>
      <c r="G25" s="66"/>
      <c r="H25" s="66"/>
      <c r="I25" s="66"/>
      <c r="J25" s="66"/>
      <c r="K25" s="66"/>
      <c r="L25" s="66"/>
      <c r="M25" s="66"/>
      <c r="N25" s="66"/>
    </row>
    <row r="26" spans="1:14" ht="15.6">
      <c r="A26" s="70"/>
      <c r="B26" s="66"/>
      <c r="C26" s="66"/>
      <c r="D26" s="66"/>
      <c r="E26" s="66"/>
      <c r="F26" s="66"/>
      <c r="G26" s="66"/>
      <c r="H26" s="66"/>
      <c r="I26" s="66"/>
      <c r="J26" s="66"/>
      <c r="K26" s="66"/>
      <c r="L26" s="66"/>
      <c r="M26" s="66"/>
      <c r="N26" s="66"/>
    </row>
    <row r="27" spans="1:14" ht="16.2" thickBot="1">
      <c r="A27" s="70"/>
      <c r="B27" s="66"/>
      <c r="C27" s="66"/>
      <c r="D27" s="66"/>
      <c r="E27" s="66"/>
      <c r="F27" s="66"/>
      <c r="G27" s="66"/>
      <c r="H27" s="66"/>
      <c r="I27" s="66"/>
      <c r="J27" s="66"/>
      <c r="K27" s="66"/>
      <c r="L27" s="66"/>
      <c r="M27" s="66"/>
      <c r="N27" s="66"/>
    </row>
    <row r="28" spans="1:14" ht="16.2" thickBot="1">
      <c r="A28" s="1140" t="s">
        <v>261</v>
      </c>
      <c r="B28" s="1142"/>
      <c r="C28" s="66"/>
      <c r="D28" s="66"/>
      <c r="E28" s="66"/>
      <c r="F28" s="66"/>
      <c r="G28" s="66"/>
      <c r="H28" s="66"/>
      <c r="I28" s="66"/>
      <c r="J28" s="66"/>
      <c r="K28" s="66"/>
      <c r="L28" s="66"/>
      <c r="M28" s="66"/>
      <c r="N28" s="66"/>
    </row>
    <row r="29" spans="1:14" ht="15.6" customHeight="1" thickBot="1">
      <c r="A29" s="112" t="s">
        <v>262</v>
      </c>
      <c r="B29" s="136" t="s">
        <v>263</v>
      </c>
      <c r="C29" s="66"/>
      <c r="D29" s="66"/>
      <c r="E29" s="66"/>
      <c r="F29" s="66"/>
      <c r="G29" s="66"/>
      <c r="H29" s="66"/>
      <c r="I29" s="66"/>
      <c r="J29" s="66"/>
      <c r="K29" s="66"/>
      <c r="L29" s="66"/>
      <c r="M29" s="66"/>
      <c r="N29" s="66"/>
    </row>
    <row r="30" spans="1:14" ht="15.6" customHeight="1" thickBot="1">
      <c r="A30" s="137" t="s">
        <v>264</v>
      </c>
      <c r="B30" s="138">
        <v>2.3E-3</v>
      </c>
      <c r="C30" s="66"/>
      <c r="D30" s="66"/>
      <c r="E30" s="66"/>
      <c r="F30" s="66"/>
      <c r="G30" s="66"/>
      <c r="H30" s="66"/>
      <c r="I30" s="66"/>
      <c r="J30" s="66"/>
      <c r="K30" s="66"/>
      <c r="L30" s="66"/>
      <c r="M30" s="66"/>
      <c r="N30" s="66"/>
    </row>
    <row r="31" spans="1:14" ht="15.6" customHeight="1" thickBot="1">
      <c r="A31" s="137" t="s">
        <v>265</v>
      </c>
      <c r="B31" s="138">
        <v>1.5E-3</v>
      </c>
      <c r="C31" s="66"/>
      <c r="D31" s="66"/>
      <c r="E31" s="66"/>
      <c r="F31" s="66"/>
      <c r="G31" s="66"/>
      <c r="H31" s="66"/>
      <c r="I31" s="66"/>
      <c r="J31" s="66"/>
      <c r="K31" s="66"/>
      <c r="L31" s="66"/>
      <c r="M31" s="66"/>
      <c r="N31" s="66"/>
    </row>
    <row r="32" spans="1:14" ht="15.6" customHeight="1" thickBot="1">
      <c r="A32" s="137" t="s">
        <v>266</v>
      </c>
      <c r="B32" s="138">
        <v>1.1999999999999999E-3</v>
      </c>
      <c r="C32" s="66"/>
      <c r="D32" s="66"/>
      <c r="E32" s="66"/>
      <c r="F32" s="66"/>
      <c r="G32" s="66"/>
      <c r="H32" s="66"/>
      <c r="I32" s="66"/>
      <c r="J32" s="66"/>
      <c r="K32" s="66"/>
      <c r="L32" s="66"/>
      <c r="M32" s="66"/>
      <c r="N32" s="66"/>
    </row>
    <row r="33" spans="1:14" ht="15.6" customHeight="1" thickBot="1">
      <c r="A33" s="137" t="s">
        <v>267</v>
      </c>
      <c r="B33" s="138">
        <v>8.9999999999999998E-4</v>
      </c>
      <c r="C33" s="66"/>
      <c r="D33" s="66"/>
      <c r="E33" s="66"/>
      <c r="F33" s="66"/>
      <c r="G33" s="66"/>
      <c r="H33" s="66"/>
      <c r="I33" s="66"/>
      <c r="J33" s="66"/>
      <c r="K33" s="66"/>
      <c r="L33" s="66"/>
      <c r="M33" s="66"/>
      <c r="N33" s="66"/>
    </row>
    <row r="34" spans="1:14" ht="15.6" customHeight="1" thickBot="1">
      <c r="A34" s="1140" t="s">
        <v>268</v>
      </c>
      <c r="B34" s="1142"/>
      <c r="C34" s="66"/>
      <c r="D34" s="66"/>
      <c r="E34" s="66"/>
      <c r="F34" s="66"/>
      <c r="G34" s="66"/>
      <c r="H34" s="66"/>
      <c r="I34" s="66"/>
      <c r="J34" s="66"/>
      <c r="K34" s="66"/>
      <c r="L34" s="66"/>
      <c r="M34" s="66"/>
      <c r="N34" s="66"/>
    </row>
    <row r="35" spans="1:14" ht="15.6" customHeight="1" thickBot="1">
      <c r="A35" s="112" t="s">
        <v>269</v>
      </c>
      <c r="B35" s="136" t="s">
        <v>263</v>
      </c>
      <c r="C35" s="66"/>
      <c r="D35" s="66"/>
      <c r="E35" s="66"/>
      <c r="F35" s="66"/>
      <c r="G35" s="66"/>
      <c r="H35" s="66"/>
      <c r="I35" s="66"/>
      <c r="J35" s="66"/>
      <c r="K35" s="66"/>
      <c r="L35" s="66"/>
      <c r="M35" s="66"/>
      <c r="N35" s="66"/>
    </row>
    <row r="36" spans="1:14" ht="16.2" thickBot="1">
      <c r="A36" s="137" t="s">
        <v>270</v>
      </c>
      <c r="B36" s="138">
        <v>7.7000000000000002E-3</v>
      </c>
      <c r="C36" s="66"/>
      <c r="D36" s="66"/>
      <c r="E36" s="66"/>
      <c r="F36" s="66"/>
      <c r="G36" s="66"/>
      <c r="H36" s="66"/>
      <c r="I36" s="66"/>
      <c r="J36" s="66"/>
      <c r="K36" s="66"/>
      <c r="L36" s="66"/>
      <c r="M36" s="66"/>
      <c r="N36" s="66"/>
    </row>
    <row r="37" spans="1:14" ht="16.2" thickBot="1">
      <c r="A37" s="137" t="s">
        <v>271</v>
      </c>
      <c r="B37" s="138">
        <v>1.54E-2</v>
      </c>
      <c r="C37" s="66"/>
      <c r="D37" s="66"/>
      <c r="E37" s="66"/>
      <c r="F37" s="66"/>
      <c r="G37" s="66"/>
      <c r="H37" s="66"/>
      <c r="I37" s="66"/>
      <c r="J37" s="66"/>
      <c r="K37" s="66"/>
      <c r="L37" s="66"/>
      <c r="M37" s="66"/>
      <c r="N37" s="66"/>
    </row>
    <row r="38" spans="1:14" ht="16.2" thickBot="1">
      <c r="A38" s="137" t="s">
        <v>272</v>
      </c>
      <c r="B38" s="138">
        <v>3.0800000000000001E-2</v>
      </c>
      <c r="C38" s="66"/>
      <c r="D38" s="66"/>
      <c r="E38" s="66"/>
      <c r="F38" s="66"/>
      <c r="G38" s="66"/>
      <c r="H38" s="66"/>
      <c r="I38" s="66"/>
      <c r="J38" s="66"/>
      <c r="K38" s="66"/>
      <c r="L38" s="66"/>
      <c r="M38" s="66"/>
      <c r="N38" s="66"/>
    </row>
    <row r="39" spans="1:14">
      <c r="A39" s="66"/>
      <c r="B39" s="66"/>
      <c r="C39" s="66"/>
      <c r="D39" s="66"/>
      <c r="E39" s="66"/>
      <c r="F39" s="66"/>
      <c r="G39" s="66"/>
      <c r="H39" s="66"/>
      <c r="I39" s="66"/>
      <c r="J39" s="66"/>
      <c r="K39" s="66"/>
      <c r="L39" s="66"/>
      <c r="M39" s="66"/>
      <c r="N39" s="66"/>
    </row>
    <row r="40" spans="1:14" ht="15.6">
      <c r="A40" s="70" t="s">
        <v>274</v>
      </c>
      <c r="B40" s="66"/>
      <c r="C40" s="66"/>
      <c r="D40" s="66"/>
      <c r="E40" s="66"/>
      <c r="F40" s="66"/>
      <c r="G40" s="66"/>
      <c r="H40" s="66"/>
      <c r="I40" s="66"/>
      <c r="J40" s="66"/>
      <c r="K40" s="66"/>
      <c r="L40" s="66"/>
      <c r="M40" s="66"/>
      <c r="N40" s="66"/>
    </row>
    <row r="41" spans="1:14" ht="15.6">
      <c r="A41" s="107" t="s">
        <v>24</v>
      </c>
    </row>
    <row r="42" spans="1:14" ht="15.6">
      <c r="A42" s="118"/>
    </row>
  </sheetData>
  <mergeCells count="4">
    <mergeCell ref="B15:B16"/>
    <mergeCell ref="B17:B18"/>
    <mergeCell ref="A28:B28"/>
    <mergeCell ref="A34:B34"/>
  </mergeCells>
  <pageMargins left="0.7" right="0.7" top="0.75" bottom="0.75" header="0.3" footer="0.3"/>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3E9A6-E767-43BB-8F26-7A3F55A9F107}">
  <sheetPr codeName="Sheet30"/>
  <dimension ref="A1:N20"/>
  <sheetViews>
    <sheetView topLeftCell="A17" workbookViewId="0"/>
  </sheetViews>
  <sheetFormatPr defaultColWidth="8.77734375" defaultRowHeight="14.4"/>
  <cols>
    <col min="1" max="1" width="44.77734375" style="67" customWidth="1"/>
    <col min="2" max="2" width="20" style="67" customWidth="1"/>
    <col min="3" max="16384" width="8.77734375" style="67"/>
  </cols>
  <sheetData>
    <row r="1" spans="1:14" ht="17.399999999999999">
      <c r="A1" s="65" t="s">
        <v>275</v>
      </c>
      <c r="B1" s="66"/>
      <c r="C1" s="66"/>
      <c r="D1" s="66"/>
      <c r="E1" s="66"/>
      <c r="F1" s="66"/>
      <c r="G1" s="66"/>
      <c r="H1" s="66"/>
      <c r="I1" s="66"/>
      <c r="J1" s="66"/>
      <c r="K1" s="66"/>
      <c r="L1" s="66"/>
      <c r="M1" s="66"/>
      <c r="N1" s="66"/>
    </row>
    <row r="2" spans="1:14" ht="15.6">
      <c r="A2" s="68" t="s">
        <v>276</v>
      </c>
      <c r="B2" s="66"/>
      <c r="C2" s="66"/>
      <c r="D2" s="66"/>
      <c r="E2" s="66"/>
      <c r="F2" s="66"/>
      <c r="G2" s="66"/>
      <c r="H2" s="66"/>
      <c r="I2" s="66"/>
      <c r="J2" s="66"/>
      <c r="K2" s="66"/>
      <c r="L2" s="66"/>
      <c r="M2" s="66"/>
      <c r="N2" s="66"/>
    </row>
    <row r="3" spans="1:14" ht="15.6">
      <c r="A3" s="68" t="s">
        <v>177</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277</v>
      </c>
      <c r="B5" s="66"/>
      <c r="C5" s="66"/>
      <c r="D5" s="66"/>
      <c r="E5" s="66"/>
      <c r="F5" s="66"/>
      <c r="G5" s="66"/>
      <c r="H5" s="66"/>
      <c r="I5" s="66"/>
      <c r="J5" s="66"/>
      <c r="K5" s="66"/>
      <c r="L5" s="66"/>
      <c r="M5" s="66"/>
      <c r="N5" s="66"/>
    </row>
    <row r="6" spans="1:14" ht="16.2" thickBot="1">
      <c r="A6" s="70"/>
      <c r="B6" s="66"/>
      <c r="C6" s="66"/>
      <c r="D6" s="66"/>
      <c r="E6" s="66"/>
      <c r="F6" s="66"/>
      <c r="G6" s="66"/>
      <c r="H6" s="66"/>
      <c r="I6" s="66"/>
      <c r="J6" s="66"/>
      <c r="K6" s="66"/>
      <c r="L6" s="66"/>
      <c r="M6" s="66"/>
      <c r="N6" s="66"/>
    </row>
    <row r="7" spans="1:14" ht="15.6" customHeight="1" thickBot="1">
      <c r="A7" s="139"/>
      <c r="B7" s="140" t="s">
        <v>278</v>
      </c>
      <c r="C7" s="66"/>
      <c r="D7" s="66"/>
      <c r="E7" s="66"/>
      <c r="F7" s="66"/>
      <c r="G7" s="66"/>
      <c r="H7" s="66"/>
      <c r="I7" s="66"/>
      <c r="J7" s="66"/>
      <c r="K7" s="66"/>
      <c r="L7" s="66"/>
      <c r="M7" s="66"/>
      <c r="N7" s="66"/>
    </row>
    <row r="8" spans="1:14" ht="15.6" customHeight="1" thickBot="1">
      <c r="A8" s="112" t="s">
        <v>279</v>
      </c>
      <c r="B8" s="133"/>
      <c r="C8" s="66"/>
      <c r="D8" s="66"/>
      <c r="E8" s="66"/>
      <c r="F8" s="66"/>
      <c r="G8" s="66"/>
      <c r="H8" s="66"/>
      <c r="I8" s="66"/>
      <c r="J8" s="66"/>
      <c r="K8" s="66"/>
      <c r="L8" s="66"/>
      <c r="M8" s="66"/>
      <c r="N8" s="66"/>
    </row>
    <row r="9" spans="1:14" ht="15.6" customHeight="1" thickBot="1">
      <c r="A9" s="112" t="s">
        <v>280</v>
      </c>
      <c r="B9" s="133">
        <v>400</v>
      </c>
      <c r="C9" s="66"/>
      <c r="D9" s="66"/>
      <c r="E9" s="66"/>
      <c r="F9" s="66"/>
      <c r="G9" s="66"/>
      <c r="H9" s="66"/>
      <c r="I9" s="66"/>
      <c r="J9" s="66"/>
      <c r="K9" s="66"/>
      <c r="L9" s="66"/>
      <c r="M9" s="66"/>
      <c r="N9" s="66"/>
    </row>
    <row r="10" spans="1:14" ht="15.6" customHeight="1" thickBot="1">
      <c r="A10" s="112" t="s">
        <v>281</v>
      </c>
      <c r="B10" s="133">
        <v>100</v>
      </c>
      <c r="C10" s="66"/>
      <c r="D10" s="66"/>
      <c r="E10" s="66"/>
      <c r="F10" s="66"/>
      <c r="G10" s="66"/>
      <c r="H10" s="66"/>
      <c r="I10" s="66"/>
      <c r="J10" s="66"/>
      <c r="K10" s="66"/>
      <c r="L10" s="66"/>
      <c r="M10" s="66"/>
      <c r="N10" s="66"/>
    </row>
    <row r="11" spans="1:14" ht="15.6" customHeight="1" thickBot="1">
      <c r="A11" s="112" t="s">
        <v>282</v>
      </c>
      <c r="B11" s="133">
        <v>990</v>
      </c>
      <c r="C11" s="66"/>
      <c r="D11" s="66"/>
      <c r="E11" s="66"/>
      <c r="F11" s="66"/>
      <c r="G11" s="66"/>
      <c r="H11" s="66"/>
      <c r="I11" s="66"/>
      <c r="J11" s="66"/>
      <c r="K11" s="66"/>
      <c r="L11" s="66"/>
      <c r="M11" s="66"/>
      <c r="N11" s="66"/>
    </row>
    <row r="12" spans="1:14" ht="43.5" customHeight="1" thickBot="1">
      <c r="A12" s="112" t="s">
        <v>283</v>
      </c>
      <c r="B12" s="134">
        <v>4800</v>
      </c>
      <c r="C12" s="66"/>
      <c r="D12" s="66"/>
      <c r="E12" s="66"/>
      <c r="F12" s="66"/>
      <c r="G12" s="66"/>
      <c r="H12" s="66"/>
      <c r="I12" s="66"/>
      <c r="J12" s="66"/>
      <c r="K12" s="66"/>
      <c r="L12" s="66"/>
      <c r="M12" s="66"/>
      <c r="N12" s="66"/>
    </row>
    <row r="13" spans="1:14" ht="41.1" customHeight="1" thickBot="1">
      <c r="A13" s="112" t="s">
        <v>284</v>
      </c>
      <c r="B13" s="134">
        <v>4700</v>
      </c>
      <c r="C13" s="66"/>
      <c r="D13" s="66"/>
      <c r="E13" s="66"/>
      <c r="F13" s="66"/>
      <c r="G13" s="66"/>
      <c r="H13" s="66"/>
      <c r="I13" s="66"/>
      <c r="J13" s="66"/>
      <c r="K13" s="66"/>
      <c r="L13" s="66"/>
      <c r="M13" s="66"/>
      <c r="N13" s="66"/>
    </row>
    <row r="14" spans="1:14" ht="22.05" customHeight="1" thickBot="1">
      <c r="A14" s="112" t="s">
        <v>285</v>
      </c>
      <c r="B14" s="134">
        <v>5000</v>
      </c>
      <c r="C14" s="66"/>
      <c r="D14" s="66"/>
      <c r="E14" s="66"/>
      <c r="F14" s="66"/>
      <c r="G14" s="66"/>
      <c r="H14" s="66"/>
      <c r="I14" s="66"/>
      <c r="J14" s="66"/>
      <c r="K14" s="66"/>
      <c r="L14" s="66"/>
      <c r="M14" s="66"/>
      <c r="N14" s="66"/>
    </row>
    <row r="15" spans="1:14" ht="51" customHeight="1" thickBot="1">
      <c r="A15" s="112" t="s">
        <v>286</v>
      </c>
      <c r="B15" s="133">
        <v>5</v>
      </c>
      <c r="C15" s="66"/>
      <c r="D15" s="66"/>
      <c r="E15" s="66"/>
      <c r="F15" s="66"/>
      <c r="G15" s="66"/>
      <c r="H15" s="66"/>
      <c r="I15" s="66"/>
      <c r="J15" s="66"/>
      <c r="K15" s="66"/>
      <c r="L15" s="66"/>
      <c r="M15" s="66"/>
      <c r="N15" s="66"/>
    </row>
    <row r="16" spans="1:14" ht="15.6">
      <c r="A16" s="70"/>
      <c r="B16" s="66"/>
      <c r="C16" s="66"/>
      <c r="D16" s="66"/>
      <c r="E16" s="66"/>
      <c r="F16" s="66"/>
      <c r="G16" s="66"/>
      <c r="H16" s="66"/>
      <c r="I16" s="66"/>
      <c r="J16" s="66"/>
      <c r="K16" s="66"/>
      <c r="L16" s="66"/>
      <c r="M16" s="66"/>
      <c r="N16" s="66"/>
    </row>
    <row r="17" spans="1:14" ht="15.6">
      <c r="A17" s="70" t="s">
        <v>287</v>
      </c>
      <c r="B17" s="66"/>
      <c r="C17" s="66"/>
      <c r="D17" s="66"/>
      <c r="E17" s="66"/>
      <c r="F17" s="66"/>
      <c r="G17" s="66"/>
      <c r="H17" s="66"/>
      <c r="I17" s="66"/>
      <c r="J17" s="66"/>
      <c r="K17" s="66"/>
      <c r="L17" s="66"/>
      <c r="M17" s="66"/>
      <c r="N17" s="66"/>
    </row>
    <row r="18" spans="1:14" ht="15.6">
      <c r="A18" s="70"/>
      <c r="B18" s="66"/>
      <c r="C18" s="66"/>
      <c r="D18" s="66"/>
      <c r="E18" s="66"/>
      <c r="F18" s="66"/>
      <c r="G18" s="66"/>
      <c r="H18" s="66"/>
      <c r="I18" s="66"/>
      <c r="J18" s="66"/>
      <c r="K18" s="66"/>
      <c r="L18" s="66"/>
      <c r="M18" s="66"/>
      <c r="N18" s="66"/>
    </row>
    <row r="19" spans="1:14" ht="15.6">
      <c r="A19" s="108" t="s">
        <v>288</v>
      </c>
      <c r="B19" s="66"/>
      <c r="C19" s="66"/>
      <c r="D19" s="66"/>
      <c r="E19" s="66"/>
      <c r="F19" s="66"/>
      <c r="G19" s="66"/>
      <c r="H19" s="66"/>
      <c r="I19" s="66"/>
      <c r="J19" s="66"/>
      <c r="K19" s="66"/>
      <c r="L19" s="66"/>
      <c r="M19" s="66"/>
      <c r="N19" s="66"/>
    </row>
    <row r="20" spans="1:14" ht="15.6">
      <c r="A20" s="107" t="s">
        <v>24</v>
      </c>
    </row>
  </sheetData>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C4358-143A-4CEF-814B-BFDAB004EC1F}">
  <sheetPr codeName="Sheet31"/>
  <dimension ref="A1:N20"/>
  <sheetViews>
    <sheetView topLeftCell="A13" workbookViewId="0"/>
  </sheetViews>
  <sheetFormatPr defaultColWidth="8.77734375" defaultRowHeight="14.4"/>
  <cols>
    <col min="1" max="1" width="44.77734375" style="67" customWidth="1"/>
    <col min="2" max="2" width="20" style="67" customWidth="1"/>
    <col min="3" max="16384" width="8.77734375" style="67"/>
  </cols>
  <sheetData>
    <row r="1" spans="1:14" ht="17.399999999999999">
      <c r="A1" s="65" t="s">
        <v>275</v>
      </c>
      <c r="B1" s="66"/>
      <c r="C1" s="66"/>
      <c r="D1" s="66"/>
      <c r="E1" s="66"/>
      <c r="F1" s="66"/>
      <c r="G1" s="66"/>
      <c r="H1" s="66"/>
      <c r="I1" s="66"/>
      <c r="J1" s="66"/>
      <c r="K1" s="66"/>
      <c r="L1" s="66"/>
      <c r="M1" s="66"/>
      <c r="N1" s="66"/>
    </row>
    <row r="2" spans="1:14" ht="15.6">
      <c r="A2" s="68" t="s">
        <v>276</v>
      </c>
      <c r="B2" s="66"/>
      <c r="C2" s="66"/>
      <c r="D2" s="66"/>
      <c r="E2" s="66"/>
      <c r="F2" s="66"/>
      <c r="G2" s="66"/>
      <c r="H2" s="66"/>
      <c r="I2" s="66"/>
      <c r="J2" s="66"/>
      <c r="K2" s="66"/>
      <c r="L2" s="66"/>
      <c r="M2" s="66"/>
      <c r="N2" s="66"/>
    </row>
    <row r="3" spans="1:14" ht="15.6">
      <c r="A3" s="68" t="s">
        <v>177</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277</v>
      </c>
      <c r="B5" s="66"/>
      <c r="C5" s="66"/>
      <c r="D5" s="66"/>
      <c r="E5" s="66"/>
      <c r="F5" s="66"/>
      <c r="G5" s="66"/>
      <c r="H5" s="66"/>
      <c r="I5" s="66"/>
      <c r="J5" s="66"/>
      <c r="K5" s="66"/>
      <c r="L5" s="66"/>
      <c r="M5" s="66"/>
      <c r="N5" s="66"/>
    </row>
    <row r="6" spans="1:14" ht="16.2" thickBot="1">
      <c r="A6" s="70"/>
      <c r="B6" s="66"/>
      <c r="C6" s="66"/>
      <c r="D6" s="66"/>
      <c r="E6" s="66"/>
      <c r="F6" s="66"/>
      <c r="G6" s="66"/>
      <c r="H6" s="66"/>
      <c r="I6" s="66"/>
      <c r="J6" s="66"/>
      <c r="K6" s="66"/>
      <c r="L6" s="66"/>
      <c r="M6" s="66"/>
      <c r="N6" s="66"/>
    </row>
    <row r="7" spans="1:14" ht="15.6" customHeight="1" thickBot="1">
      <c r="A7" s="139"/>
      <c r="B7" s="140" t="s">
        <v>278</v>
      </c>
      <c r="C7" s="66"/>
      <c r="D7" s="66"/>
      <c r="E7" s="66"/>
      <c r="F7" s="66"/>
      <c r="G7" s="66"/>
      <c r="H7" s="66"/>
      <c r="I7" s="66"/>
      <c r="J7" s="66"/>
      <c r="K7" s="66"/>
      <c r="L7" s="66"/>
      <c r="M7" s="66"/>
      <c r="N7" s="66"/>
    </row>
    <row r="8" spans="1:14" ht="15.6" customHeight="1" thickBot="1">
      <c r="A8" s="112" t="s">
        <v>279</v>
      </c>
      <c r="B8" s="133"/>
      <c r="C8" s="66"/>
      <c r="D8" s="66"/>
      <c r="E8" s="66"/>
      <c r="F8" s="66"/>
      <c r="G8" s="66"/>
      <c r="H8" s="66"/>
      <c r="I8" s="66"/>
      <c r="J8" s="66"/>
      <c r="K8" s="66"/>
      <c r="L8" s="66"/>
      <c r="M8" s="66"/>
      <c r="N8" s="66"/>
    </row>
    <row r="9" spans="1:14" ht="15.6" customHeight="1" thickBot="1">
      <c r="A9" s="112" t="s">
        <v>280</v>
      </c>
      <c r="B9" s="133">
        <v>400</v>
      </c>
      <c r="C9" s="66"/>
      <c r="D9" s="66"/>
      <c r="E9" s="66"/>
      <c r="F9" s="66"/>
      <c r="G9" s="66"/>
      <c r="H9" s="66"/>
      <c r="I9" s="66"/>
      <c r="J9" s="66"/>
      <c r="K9" s="66"/>
      <c r="L9" s="66"/>
      <c r="M9" s="66"/>
      <c r="N9" s="66"/>
    </row>
    <row r="10" spans="1:14" ht="15.6" customHeight="1" thickBot="1">
      <c r="A10" s="112" t="s">
        <v>281</v>
      </c>
      <c r="B10" s="133">
        <v>100</v>
      </c>
      <c r="C10" s="66"/>
      <c r="D10" s="66"/>
      <c r="E10" s="66"/>
      <c r="F10" s="66"/>
      <c r="G10" s="66"/>
      <c r="H10" s="66"/>
      <c r="I10" s="66"/>
      <c r="J10" s="66"/>
      <c r="K10" s="66"/>
      <c r="L10" s="66"/>
      <c r="M10" s="66"/>
      <c r="N10" s="66"/>
    </row>
    <row r="11" spans="1:14" ht="15.6" customHeight="1" thickBot="1">
      <c r="A11" s="112" t="s">
        <v>282</v>
      </c>
      <c r="B11" s="133">
        <v>990</v>
      </c>
      <c r="C11" s="66"/>
      <c r="D11" s="66"/>
      <c r="E11" s="66"/>
      <c r="F11" s="66"/>
      <c r="G11" s="66"/>
      <c r="H11" s="66"/>
      <c r="I11" s="66"/>
      <c r="J11" s="66"/>
      <c r="K11" s="66"/>
      <c r="L11" s="66"/>
      <c r="M11" s="66"/>
      <c r="N11" s="66"/>
    </row>
    <row r="12" spans="1:14" ht="43.5" customHeight="1" thickBot="1">
      <c r="A12" s="112" t="s">
        <v>283</v>
      </c>
      <c r="B12" s="134">
        <v>4800</v>
      </c>
      <c r="C12" s="66"/>
      <c r="D12" s="66"/>
      <c r="E12" s="66"/>
      <c r="F12" s="66"/>
      <c r="G12" s="66"/>
      <c r="H12" s="66"/>
      <c r="I12" s="66"/>
      <c r="J12" s="66"/>
      <c r="K12" s="66"/>
      <c r="L12" s="66"/>
      <c r="M12" s="66"/>
      <c r="N12" s="66"/>
    </row>
    <row r="13" spans="1:14" ht="41.1" customHeight="1" thickBot="1">
      <c r="A13" s="112" t="s">
        <v>284</v>
      </c>
      <c r="B13" s="134">
        <v>4700</v>
      </c>
      <c r="C13" s="66"/>
      <c r="D13" s="66"/>
      <c r="E13" s="66"/>
      <c r="F13" s="66"/>
      <c r="G13" s="66"/>
      <c r="H13" s="66"/>
      <c r="I13" s="66"/>
      <c r="J13" s="66"/>
      <c r="K13" s="66"/>
      <c r="L13" s="66"/>
      <c r="M13" s="66"/>
      <c r="N13" s="66"/>
    </row>
    <row r="14" spans="1:14" ht="22.05" customHeight="1" thickBot="1">
      <c r="A14" s="112" t="s">
        <v>285</v>
      </c>
      <c r="B14" s="134">
        <v>5000</v>
      </c>
      <c r="C14" s="66"/>
      <c r="D14" s="66"/>
      <c r="E14" s="66"/>
      <c r="F14" s="66"/>
      <c r="G14" s="66"/>
      <c r="H14" s="66"/>
      <c r="I14" s="66"/>
      <c r="J14" s="66"/>
      <c r="K14" s="66"/>
      <c r="L14" s="66"/>
      <c r="M14" s="66"/>
      <c r="N14" s="66"/>
    </row>
    <row r="15" spans="1:14" ht="51" customHeight="1" thickBot="1">
      <c r="A15" s="112" t="s">
        <v>286</v>
      </c>
      <c r="B15" s="133">
        <v>5</v>
      </c>
      <c r="C15" s="66"/>
      <c r="D15" s="66"/>
      <c r="E15" s="66"/>
      <c r="F15" s="66"/>
      <c r="G15" s="66"/>
      <c r="H15" s="66"/>
      <c r="I15" s="66"/>
      <c r="J15" s="66"/>
      <c r="K15" s="66"/>
      <c r="L15" s="66"/>
      <c r="M15" s="66"/>
      <c r="N15" s="66"/>
    </row>
    <row r="16" spans="1:14" ht="15.6">
      <c r="A16" s="70"/>
      <c r="B16" s="66"/>
      <c r="C16" s="66"/>
      <c r="D16" s="66"/>
      <c r="E16" s="66"/>
      <c r="F16" s="66"/>
      <c r="G16" s="66"/>
      <c r="H16" s="66"/>
      <c r="I16" s="66"/>
      <c r="J16" s="66"/>
      <c r="K16" s="66"/>
      <c r="L16" s="66"/>
      <c r="M16" s="66"/>
      <c r="N16" s="66"/>
    </row>
    <row r="17" spans="1:14" ht="15.6">
      <c r="A17" s="70" t="s">
        <v>287</v>
      </c>
      <c r="B17" s="66"/>
      <c r="C17" s="66"/>
      <c r="D17" s="66"/>
      <c r="E17" s="66"/>
      <c r="F17" s="66"/>
      <c r="G17" s="66"/>
      <c r="H17" s="66"/>
      <c r="I17" s="66"/>
      <c r="J17" s="66"/>
      <c r="K17" s="66"/>
      <c r="L17" s="66"/>
      <c r="M17" s="66"/>
      <c r="N17" s="66"/>
    </row>
    <row r="18" spans="1:14" ht="15.6">
      <c r="A18" s="70"/>
      <c r="B18" s="66"/>
      <c r="C18" s="66"/>
      <c r="D18" s="66"/>
      <c r="E18" s="66"/>
      <c r="F18" s="66"/>
      <c r="G18" s="66"/>
      <c r="H18" s="66"/>
      <c r="I18" s="66"/>
      <c r="J18" s="66"/>
      <c r="K18" s="66"/>
      <c r="L18" s="66"/>
      <c r="M18" s="66"/>
      <c r="N18" s="66"/>
    </row>
    <row r="19" spans="1:14" ht="15.6">
      <c r="A19" s="108" t="s">
        <v>289</v>
      </c>
      <c r="B19" s="66"/>
      <c r="C19" s="66"/>
      <c r="D19" s="66"/>
      <c r="E19" s="66"/>
      <c r="F19" s="66"/>
      <c r="G19" s="66"/>
      <c r="H19" s="66"/>
      <c r="I19" s="66"/>
      <c r="J19" s="66"/>
      <c r="K19" s="66"/>
      <c r="L19" s="66"/>
      <c r="M19" s="66"/>
      <c r="N19" s="66"/>
    </row>
    <row r="20" spans="1:14" ht="15.6">
      <c r="A20" s="107" t="s">
        <v>24</v>
      </c>
    </row>
  </sheetData>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A64F5-BF3E-44BD-91B5-783C3B10B954}">
  <sheetPr codeName="Sheet32"/>
  <dimension ref="A1:N33"/>
  <sheetViews>
    <sheetView workbookViewId="0"/>
  </sheetViews>
  <sheetFormatPr defaultColWidth="8.77734375" defaultRowHeight="14.4"/>
  <cols>
    <col min="1" max="1" width="11.5546875" style="67" customWidth="1"/>
    <col min="2" max="2" width="10.77734375" style="67" customWidth="1"/>
    <col min="3" max="3" width="14" style="67" customWidth="1"/>
    <col min="4" max="5" width="8.77734375" style="67"/>
    <col min="6" max="6" width="13" style="67" customWidth="1"/>
    <col min="7" max="7" width="13.77734375" style="67" customWidth="1"/>
    <col min="8" max="9" width="8.77734375" style="67"/>
    <col min="10" max="10" width="12.44140625" style="67" customWidth="1"/>
    <col min="11" max="11" width="17.77734375" style="67" customWidth="1"/>
    <col min="12" max="13" width="8.77734375" style="67"/>
    <col min="14" max="14" width="16" style="67" customWidth="1"/>
    <col min="15" max="16384" width="8.77734375" style="67"/>
  </cols>
  <sheetData>
    <row r="1" spans="1:14" ht="17.399999999999999">
      <c r="A1" s="65" t="s">
        <v>290</v>
      </c>
      <c r="B1" s="66"/>
      <c r="C1" s="66"/>
      <c r="D1" s="66"/>
      <c r="E1" s="66"/>
      <c r="F1" s="66"/>
      <c r="G1" s="66"/>
      <c r="H1" s="66"/>
      <c r="I1" s="66"/>
      <c r="J1" s="66"/>
      <c r="K1" s="66"/>
      <c r="L1" s="66"/>
      <c r="M1" s="66"/>
      <c r="N1" s="66"/>
    </row>
    <row r="2" spans="1:14" ht="15.6">
      <c r="A2" s="68" t="s">
        <v>291</v>
      </c>
      <c r="B2" s="66"/>
      <c r="C2" s="66"/>
      <c r="D2" s="66"/>
      <c r="E2" s="66"/>
      <c r="F2" s="66"/>
      <c r="G2" s="66"/>
      <c r="H2" s="66"/>
      <c r="I2" s="66"/>
      <c r="J2" s="66"/>
      <c r="K2" s="66"/>
      <c r="L2" s="66"/>
      <c r="M2" s="66"/>
      <c r="N2" s="66"/>
    </row>
    <row r="3" spans="1:14" ht="15.6">
      <c r="A3" s="68" t="s">
        <v>177</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292</v>
      </c>
      <c r="B5" s="66"/>
      <c r="C5" s="66"/>
      <c r="D5" s="66"/>
      <c r="E5" s="66"/>
      <c r="F5" s="66"/>
      <c r="G5" s="66"/>
      <c r="H5" s="66"/>
      <c r="I5" s="66"/>
      <c r="J5" s="66"/>
      <c r="K5" s="66"/>
      <c r="L5" s="66"/>
      <c r="M5" s="66"/>
      <c r="N5" s="66"/>
    </row>
    <row r="6" spans="1:14" ht="15.6">
      <c r="A6" s="141" t="s">
        <v>293</v>
      </c>
      <c r="B6" s="66"/>
      <c r="C6" s="66"/>
      <c r="D6" s="66"/>
      <c r="E6" s="66"/>
      <c r="F6" s="66"/>
      <c r="G6" s="66"/>
      <c r="H6" s="66"/>
      <c r="I6" s="66"/>
      <c r="J6" s="66"/>
      <c r="K6" s="66"/>
      <c r="L6" s="66"/>
      <c r="M6" s="66"/>
      <c r="N6" s="66"/>
    </row>
    <row r="7" spans="1:14" ht="15.6">
      <c r="A7" s="141"/>
      <c r="B7" s="66"/>
      <c r="C7" s="66"/>
      <c r="D7" s="66"/>
      <c r="E7" s="66"/>
      <c r="F7" s="66"/>
      <c r="G7" s="66"/>
      <c r="H7" s="66"/>
      <c r="I7" s="66"/>
      <c r="J7" s="66"/>
      <c r="K7" s="66"/>
      <c r="L7" s="66"/>
      <c r="M7" s="66"/>
      <c r="N7" s="66"/>
    </row>
    <row r="8" spans="1:14" ht="15.6">
      <c r="A8" s="141" t="s">
        <v>294</v>
      </c>
      <c r="B8" s="66"/>
      <c r="C8" s="66"/>
      <c r="D8" s="66"/>
      <c r="E8" s="66"/>
      <c r="F8" s="66"/>
      <c r="G8" s="66"/>
      <c r="H8" s="66"/>
      <c r="I8" s="66"/>
      <c r="J8" s="66"/>
      <c r="K8" s="66"/>
      <c r="L8" s="66"/>
      <c r="M8" s="66"/>
      <c r="N8" s="66"/>
    </row>
    <row r="9" spans="1:14" ht="16.2" thickBot="1">
      <c r="A9" s="141"/>
      <c r="B9" s="66"/>
      <c r="C9" s="66"/>
      <c r="D9" s="66"/>
      <c r="E9" s="66"/>
      <c r="F9" s="66"/>
      <c r="G9" s="66"/>
      <c r="H9" s="66"/>
      <c r="I9" s="66"/>
      <c r="J9" s="66"/>
      <c r="K9" s="66"/>
      <c r="L9" s="66"/>
      <c r="M9" s="66"/>
      <c r="N9" s="66"/>
    </row>
    <row r="10" spans="1:14" ht="28.05" customHeight="1" thickBot="1">
      <c r="A10" s="1178" t="s">
        <v>295</v>
      </c>
      <c r="B10" s="1179"/>
      <c r="C10" s="1180"/>
      <c r="D10" s="1178" t="s">
        <v>296</v>
      </c>
      <c r="E10" s="1179"/>
      <c r="F10" s="1179"/>
      <c r="G10" s="1180"/>
      <c r="H10" s="1179" t="s">
        <v>296</v>
      </c>
      <c r="I10" s="1179"/>
      <c r="J10" s="1179"/>
      <c r="K10" s="1180"/>
      <c r="L10" s="66"/>
      <c r="M10" s="66"/>
      <c r="N10" s="66"/>
    </row>
    <row r="11" spans="1:14" ht="56.1" customHeight="1" thickBot="1">
      <c r="A11" s="1178" t="s">
        <v>297</v>
      </c>
      <c r="B11" s="1179"/>
      <c r="C11" s="1180"/>
      <c r="D11" s="1178" t="s">
        <v>298</v>
      </c>
      <c r="E11" s="1179"/>
      <c r="F11" s="1179"/>
      <c r="G11" s="1180"/>
      <c r="H11" s="1179" t="s">
        <v>299</v>
      </c>
      <c r="I11" s="1179"/>
      <c r="J11" s="1179"/>
      <c r="K11" s="1180"/>
      <c r="L11" s="66"/>
      <c r="M11" s="66"/>
      <c r="N11" s="66"/>
    </row>
    <row r="12" spans="1:14" ht="35.1" customHeight="1" thickBot="1">
      <c r="A12" s="142" t="s">
        <v>161</v>
      </c>
      <c r="B12" s="143" t="s">
        <v>300</v>
      </c>
      <c r="C12" s="143" t="s">
        <v>301</v>
      </c>
      <c r="D12" s="1178" t="s">
        <v>161</v>
      </c>
      <c r="E12" s="1180"/>
      <c r="F12" s="143" t="s">
        <v>300</v>
      </c>
      <c r="G12" s="143" t="s">
        <v>301</v>
      </c>
      <c r="H12" s="1178" t="s">
        <v>161</v>
      </c>
      <c r="I12" s="1180"/>
      <c r="J12" s="143" t="s">
        <v>300</v>
      </c>
      <c r="K12" s="143" t="s">
        <v>301</v>
      </c>
      <c r="L12" s="66"/>
      <c r="M12" s="66"/>
      <c r="N12" s="66"/>
    </row>
    <row r="13" spans="1:14" ht="15" thickBot="1">
      <c r="A13" s="144">
        <v>1</v>
      </c>
      <c r="B13" s="145">
        <v>100</v>
      </c>
      <c r="C13" s="145">
        <v>20</v>
      </c>
      <c r="D13" s="1181">
        <v>1</v>
      </c>
      <c r="E13" s="1182"/>
      <c r="F13" s="145">
        <v>94</v>
      </c>
      <c r="G13" s="145">
        <v>17</v>
      </c>
      <c r="H13" s="1181">
        <v>1</v>
      </c>
      <c r="I13" s="1182"/>
      <c r="J13" s="145">
        <v>93</v>
      </c>
      <c r="K13" s="145">
        <v>16</v>
      </c>
      <c r="L13" s="66"/>
      <c r="M13" s="66"/>
      <c r="N13" s="66"/>
    </row>
    <row r="14" spans="1:14" ht="15" thickBot="1">
      <c r="A14" s="144">
        <v>2</v>
      </c>
      <c r="B14" s="145">
        <v>93</v>
      </c>
      <c r="C14" s="145">
        <v>26</v>
      </c>
      <c r="D14" s="1181">
        <v>2</v>
      </c>
      <c r="E14" s="1182"/>
      <c r="F14" s="145">
        <v>87</v>
      </c>
      <c r="G14" s="145">
        <v>25</v>
      </c>
      <c r="H14" s="1181">
        <v>2</v>
      </c>
      <c r="I14" s="1182"/>
      <c r="J14" s="145">
        <v>86</v>
      </c>
      <c r="K14" s="145">
        <v>25</v>
      </c>
      <c r="L14" s="66"/>
      <c r="M14" s="66"/>
      <c r="N14" s="66"/>
    </row>
    <row r="15" spans="1:14" ht="15" thickBot="1">
      <c r="A15" s="144">
        <v>3</v>
      </c>
      <c r="B15" s="145">
        <v>95</v>
      </c>
      <c r="C15" s="145">
        <v>29</v>
      </c>
      <c r="D15" s="1181">
        <v>3</v>
      </c>
      <c r="E15" s="1182"/>
      <c r="F15" s="145">
        <v>91</v>
      </c>
      <c r="G15" s="145">
        <v>30</v>
      </c>
      <c r="H15" s="1181">
        <v>3</v>
      </c>
      <c r="I15" s="1182"/>
      <c r="J15" s="145">
        <v>90</v>
      </c>
      <c r="K15" s="145">
        <v>29</v>
      </c>
      <c r="L15" s="66"/>
      <c r="M15" s="66"/>
      <c r="N15" s="66"/>
    </row>
    <row r="16" spans="1:14" ht="15" thickBot="1">
      <c r="A16" s="144">
        <v>4</v>
      </c>
      <c r="B16" s="145">
        <v>107</v>
      </c>
      <c r="C16" s="145">
        <v>10</v>
      </c>
      <c r="D16" s="1181">
        <v>4</v>
      </c>
      <c r="E16" s="1182"/>
      <c r="F16" s="145">
        <v>102</v>
      </c>
      <c r="G16" s="145">
        <v>11</v>
      </c>
      <c r="H16" s="1181">
        <v>4</v>
      </c>
      <c r="I16" s="1182"/>
      <c r="J16" s="145">
        <v>101</v>
      </c>
      <c r="K16" s="145">
        <v>10</v>
      </c>
      <c r="L16" s="66"/>
      <c r="M16" s="66"/>
      <c r="N16" s="66"/>
    </row>
    <row r="17" spans="1:14" ht="15" thickBot="1">
      <c r="A17" s="144">
        <v>5</v>
      </c>
      <c r="B17" s="145">
        <v>102</v>
      </c>
      <c r="C17" s="145">
        <v>15</v>
      </c>
      <c r="D17" s="1181">
        <v>5</v>
      </c>
      <c r="E17" s="1182"/>
      <c r="F17" s="145">
        <v>98</v>
      </c>
      <c r="G17" s="145">
        <v>15</v>
      </c>
      <c r="H17" s="1181">
        <v>5</v>
      </c>
      <c r="I17" s="1182"/>
      <c r="J17" s="145">
        <v>97</v>
      </c>
      <c r="K17" s="145">
        <v>15</v>
      </c>
      <c r="L17" s="66"/>
      <c r="M17" s="66"/>
      <c r="N17" s="66"/>
    </row>
    <row r="18" spans="1:14" ht="15" thickBot="1">
      <c r="A18" s="144">
        <v>6</v>
      </c>
      <c r="B18" s="145">
        <v>97</v>
      </c>
      <c r="C18" s="145">
        <v>30</v>
      </c>
      <c r="D18" s="1181">
        <v>6</v>
      </c>
      <c r="E18" s="1182"/>
      <c r="F18" s="145">
        <v>91</v>
      </c>
      <c r="G18" s="145">
        <v>29</v>
      </c>
      <c r="H18" s="1181">
        <v>6</v>
      </c>
      <c r="I18" s="1182"/>
      <c r="J18" s="145">
        <v>90</v>
      </c>
      <c r="K18" s="145">
        <v>29</v>
      </c>
      <c r="L18" s="66"/>
      <c r="M18" s="66"/>
      <c r="N18" s="66"/>
    </row>
    <row r="19" spans="1:14" ht="15" thickBot="1">
      <c r="A19" s="144">
        <v>7</v>
      </c>
      <c r="B19" s="145">
        <v>92</v>
      </c>
      <c r="C19" s="145">
        <v>40</v>
      </c>
      <c r="D19" s="1181">
        <v>7</v>
      </c>
      <c r="E19" s="1182"/>
      <c r="F19" s="145">
        <v>87</v>
      </c>
      <c r="G19" s="145">
        <v>41</v>
      </c>
      <c r="H19" s="1181">
        <v>7</v>
      </c>
      <c r="I19" s="1182"/>
      <c r="J19" s="145">
        <v>86</v>
      </c>
      <c r="K19" s="145">
        <v>41</v>
      </c>
      <c r="L19" s="66"/>
      <c r="M19" s="66"/>
      <c r="N19" s="66"/>
    </row>
    <row r="20" spans="1:14" ht="15" thickBot="1">
      <c r="A20" s="144">
        <v>8</v>
      </c>
      <c r="B20" s="145">
        <v>108</v>
      </c>
      <c r="C20" s="145">
        <v>20</v>
      </c>
      <c r="D20" s="1181">
        <v>8</v>
      </c>
      <c r="E20" s="1182"/>
      <c r="F20" s="145">
        <v>104</v>
      </c>
      <c r="G20" s="145">
        <v>21</v>
      </c>
      <c r="H20" s="1181">
        <v>8</v>
      </c>
      <c r="I20" s="1182"/>
      <c r="J20" s="145">
        <v>103</v>
      </c>
      <c r="K20" s="145">
        <v>21</v>
      </c>
      <c r="L20" s="66"/>
      <c r="M20" s="66"/>
      <c r="N20" s="66"/>
    </row>
    <row r="21" spans="1:14" ht="15" thickBot="1">
      <c r="A21" s="144">
        <v>9</v>
      </c>
      <c r="B21" s="145">
        <v>106</v>
      </c>
      <c r="C21" s="145">
        <v>18</v>
      </c>
      <c r="D21" s="1181">
        <v>9</v>
      </c>
      <c r="E21" s="1182"/>
      <c r="F21" s="145">
        <v>102</v>
      </c>
      <c r="G21" s="145">
        <v>16</v>
      </c>
      <c r="H21" s="1181">
        <v>9</v>
      </c>
      <c r="I21" s="1182"/>
      <c r="J21" s="145">
        <v>101</v>
      </c>
      <c r="K21" s="145">
        <v>16</v>
      </c>
      <c r="L21" s="66"/>
      <c r="M21" s="66"/>
      <c r="N21" s="66"/>
    </row>
    <row r="22" spans="1:14" ht="15" thickBot="1">
      <c r="A22" s="144">
        <v>10</v>
      </c>
      <c r="B22" s="145">
        <v>100</v>
      </c>
      <c r="C22" s="145">
        <v>22</v>
      </c>
      <c r="D22" s="1181">
        <v>10</v>
      </c>
      <c r="E22" s="1182"/>
      <c r="F22" s="145">
        <v>94</v>
      </c>
      <c r="G22" s="145">
        <v>25</v>
      </c>
      <c r="H22" s="1181">
        <v>10</v>
      </c>
      <c r="I22" s="1182"/>
      <c r="J22" s="145">
        <v>93</v>
      </c>
      <c r="K22" s="145">
        <v>24</v>
      </c>
      <c r="L22" s="66"/>
      <c r="M22" s="66"/>
      <c r="N22" s="66"/>
    </row>
    <row r="23" spans="1:14">
      <c r="A23" s="146"/>
      <c r="B23" s="146"/>
      <c r="C23" s="146"/>
      <c r="D23" s="146"/>
      <c r="E23" s="146"/>
      <c r="F23" s="146"/>
      <c r="G23" s="146"/>
      <c r="H23" s="146"/>
      <c r="I23" s="146"/>
      <c r="J23" s="146"/>
      <c r="K23" s="146"/>
      <c r="L23" s="66"/>
      <c r="M23" s="66"/>
      <c r="N23" s="66"/>
    </row>
    <row r="24" spans="1:14" ht="15.6">
      <c r="A24" s="147" t="s">
        <v>302</v>
      </c>
      <c r="B24" s="66"/>
      <c r="C24" s="66"/>
      <c r="D24" s="66"/>
      <c r="E24" s="66"/>
      <c r="F24" s="66"/>
      <c r="G24" s="66"/>
      <c r="H24" s="66"/>
      <c r="I24" s="66"/>
      <c r="J24" s="66"/>
      <c r="K24" s="66"/>
      <c r="L24" s="66"/>
      <c r="M24" s="66"/>
      <c r="N24" s="66"/>
    </row>
    <row r="25" spans="1:14" ht="15.6">
      <c r="A25" s="70" t="s">
        <v>303</v>
      </c>
      <c r="B25" s="66"/>
      <c r="C25" s="66"/>
      <c r="D25" s="66"/>
      <c r="E25" s="66"/>
      <c r="F25" s="66"/>
      <c r="G25" s="66"/>
      <c r="H25" s="66"/>
      <c r="I25" s="66"/>
      <c r="J25" s="66"/>
      <c r="K25" s="66"/>
      <c r="L25" s="66"/>
      <c r="M25" s="66"/>
      <c r="N25" s="66"/>
    </row>
    <row r="26" spans="1:14" ht="15.6" customHeight="1">
      <c r="A26" s="107" t="s">
        <v>24</v>
      </c>
    </row>
    <row r="27" spans="1:14" ht="15.6">
      <c r="A27" s="118"/>
    </row>
    <row r="28" spans="1:14" ht="15.6">
      <c r="A28" s="118"/>
    </row>
    <row r="29" spans="1:14" ht="15.6">
      <c r="A29" s="118"/>
    </row>
    <row r="30" spans="1:14" ht="15.6">
      <c r="A30" s="118"/>
    </row>
    <row r="31" spans="1:14" ht="15.6">
      <c r="A31" s="118"/>
    </row>
    <row r="32" spans="1:14" ht="15.6">
      <c r="A32" s="118"/>
    </row>
    <row r="33" spans="1:1" ht="15.6">
      <c r="A33" s="118"/>
    </row>
  </sheetData>
  <mergeCells count="28">
    <mergeCell ref="D21:E21"/>
    <mergeCell ref="H21:I21"/>
    <mergeCell ref="D22:E22"/>
    <mergeCell ref="H22:I22"/>
    <mergeCell ref="D18:E18"/>
    <mergeCell ref="H18:I18"/>
    <mergeCell ref="D19:E19"/>
    <mergeCell ref="H19:I19"/>
    <mergeCell ref="D20:E20"/>
    <mergeCell ref="H20:I20"/>
    <mergeCell ref="D15:E15"/>
    <mergeCell ref="H15:I15"/>
    <mergeCell ref="D16:E16"/>
    <mergeCell ref="H16:I16"/>
    <mergeCell ref="D17:E17"/>
    <mergeCell ref="H17:I17"/>
    <mergeCell ref="D12:E12"/>
    <mergeCell ref="H12:I12"/>
    <mergeCell ref="D13:E13"/>
    <mergeCell ref="H13:I13"/>
    <mergeCell ref="D14:E14"/>
    <mergeCell ref="H14:I14"/>
    <mergeCell ref="A10:C10"/>
    <mergeCell ref="D10:G10"/>
    <mergeCell ref="H10:K10"/>
    <mergeCell ref="A11:C11"/>
    <mergeCell ref="D11:G11"/>
    <mergeCell ref="H11:K11"/>
  </mergeCells>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A662A-0120-49E0-8070-848E55D25736}">
  <sheetPr codeName="Sheet33"/>
  <dimension ref="A1:N26"/>
  <sheetViews>
    <sheetView workbookViewId="0"/>
  </sheetViews>
  <sheetFormatPr defaultColWidth="8.77734375" defaultRowHeight="14.4"/>
  <cols>
    <col min="1" max="1" width="11.5546875" style="67" customWidth="1"/>
    <col min="2" max="2" width="10.77734375" style="67" customWidth="1"/>
    <col min="3" max="3" width="14" style="67" customWidth="1"/>
    <col min="4" max="5" width="8.77734375" style="67"/>
    <col min="6" max="6" width="13" style="67" customWidth="1"/>
    <col min="7" max="7" width="13.77734375" style="67" customWidth="1"/>
    <col min="8" max="9" width="8.77734375" style="67"/>
    <col min="10" max="10" width="12.44140625" style="67" customWidth="1"/>
    <col min="11" max="11" width="17.77734375" style="67" customWidth="1"/>
    <col min="12" max="13" width="8.77734375" style="67"/>
    <col min="14" max="14" width="16" style="67" customWidth="1"/>
    <col min="15" max="16384" width="8.77734375" style="67"/>
  </cols>
  <sheetData>
    <row r="1" spans="1:14" ht="17.399999999999999">
      <c r="A1" s="65" t="s">
        <v>290</v>
      </c>
      <c r="B1" s="66"/>
      <c r="C1" s="66"/>
      <c r="D1" s="66"/>
      <c r="E1" s="66"/>
      <c r="F1" s="66"/>
      <c r="G1" s="66"/>
      <c r="H1" s="66"/>
      <c r="I1" s="66"/>
      <c r="J1" s="66"/>
      <c r="K1" s="66"/>
      <c r="L1" s="66"/>
      <c r="M1" s="66"/>
      <c r="N1" s="66"/>
    </row>
    <row r="2" spans="1:14" ht="15.6">
      <c r="A2" s="68" t="s">
        <v>291</v>
      </c>
      <c r="B2" s="66"/>
      <c r="C2" s="66"/>
      <c r="D2" s="66"/>
      <c r="E2" s="66"/>
      <c r="F2" s="66"/>
      <c r="G2" s="66"/>
      <c r="H2" s="66"/>
      <c r="I2" s="66"/>
      <c r="J2" s="66"/>
      <c r="K2" s="66"/>
      <c r="L2" s="66"/>
      <c r="M2" s="66"/>
      <c r="N2" s="66"/>
    </row>
    <row r="3" spans="1:14" ht="15.6">
      <c r="A3" s="68" t="s">
        <v>177</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292</v>
      </c>
      <c r="B5" s="66"/>
      <c r="C5" s="66"/>
      <c r="D5" s="66"/>
      <c r="E5" s="66"/>
      <c r="F5" s="66"/>
      <c r="G5" s="66"/>
      <c r="H5" s="66"/>
      <c r="I5" s="66"/>
      <c r="J5" s="66"/>
      <c r="K5" s="66"/>
      <c r="L5" s="66"/>
      <c r="M5" s="66"/>
      <c r="N5" s="66"/>
    </row>
    <row r="6" spans="1:14" ht="15.6">
      <c r="A6" s="141" t="s">
        <v>293</v>
      </c>
      <c r="B6" s="66"/>
      <c r="C6" s="66"/>
      <c r="D6" s="66"/>
      <c r="E6" s="66"/>
      <c r="F6" s="66"/>
      <c r="G6" s="66"/>
      <c r="H6" s="66"/>
      <c r="I6" s="66"/>
      <c r="J6" s="66"/>
      <c r="K6" s="66"/>
      <c r="L6" s="66"/>
      <c r="M6" s="66"/>
      <c r="N6" s="66"/>
    </row>
    <row r="7" spans="1:14" ht="15.6">
      <c r="A7" s="141"/>
      <c r="B7" s="66"/>
      <c r="C7" s="66"/>
      <c r="D7" s="66"/>
      <c r="E7" s="66"/>
      <c r="F7" s="66"/>
      <c r="G7" s="66"/>
      <c r="H7" s="66"/>
      <c r="I7" s="66"/>
      <c r="J7" s="66"/>
      <c r="K7" s="66"/>
      <c r="L7" s="66"/>
      <c r="M7" s="66"/>
      <c r="N7" s="66"/>
    </row>
    <row r="8" spans="1:14" ht="15.6">
      <c r="A8" s="141" t="s">
        <v>294</v>
      </c>
      <c r="B8" s="66"/>
      <c r="C8" s="66"/>
      <c r="D8" s="66"/>
      <c r="E8" s="66"/>
      <c r="F8" s="66"/>
      <c r="G8" s="66"/>
      <c r="H8" s="66"/>
      <c r="I8" s="66"/>
      <c r="J8" s="66"/>
      <c r="K8" s="66"/>
      <c r="L8" s="66"/>
      <c r="M8" s="66"/>
      <c r="N8" s="66"/>
    </row>
    <row r="9" spans="1:14" ht="16.2" thickBot="1">
      <c r="A9" s="141"/>
      <c r="B9" s="66"/>
      <c r="C9" s="66"/>
      <c r="D9" s="66"/>
      <c r="E9" s="66"/>
      <c r="F9" s="66"/>
      <c r="G9" s="66"/>
      <c r="H9" s="66"/>
      <c r="I9" s="66"/>
      <c r="J9" s="66"/>
      <c r="K9" s="66"/>
      <c r="L9" s="66"/>
      <c r="M9" s="66"/>
      <c r="N9" s="66"/>
    </row>
    <row r="10" spans="1:14" ht="28.05" customHeight="1" thickBot="1">
      <c r="A10" s="1178" t="s">
        <v>295</v>
      </c>
      <c r="B10" s="1179"/>
      <c r="C10" s="1180"/>
      <c r="D10" s="1178" t="s">
        <v>296</v>
      </c>
      <c r="E10" s="1179"/>
      <c r="F10" s="1179"/>
      <c r="G10" s="1180"/>
      <c r="H10" s="1179" t="s">
        <v>296</v>
      </c>
      <c r="I10" s="1179"/>
      <c r="J10" s="1179"/>
      <c r="K10" s="1180"/>
      <c r="L10" s="66"/>
      <c r="M10" s="66"/>
      <c r="N10" s="66"/>
    </row>
    <row r="11" spans="1:14" ht="56.1" customHeight="1" thickBot="1">
      <c r="A11" s="1178" t="s">
        <v>297</v>
      </c>
      <c r="B11" s="1179"/>
      <c r="C11" s="1180"/>
      <c r="D11" s="1178" t="s">
        <v>298</v>
      </c>
      <c r="E11" s="1179"/>
      <c r="F11" s="1179"/>
      <c r="G11" s="1180"/>
      <c r="H11" s="1179" t="s">
        <v>299</v>
      </c>
      <c r="I11" s="1179"/>
      <c r="J11" s="1179"/>
      <c r="K11" s="1180"/>
      <c r="L11" s="66"/>
      <c r="M11" s="66"/>
      <c r="N11" s="66"/>
    </row>
    <row r="12" spans="1:14" ht="35.1" customHeight="1" thickBot="1">
      <c r="A12" s="142" t="s">
        <v>161</v>
      </c>
      <c r="B12" s="143" t="s">
        <v>300</v>
      </c>
      <c r="C12" s="143" t="s">
        <v>301</v>
      </c>
      <c r="D12" s="1178" t="s">
        <v>161</v>
      </c>
      <c r="E12" s="1180"/>
      <c r="F12" s="143" t="s">
        <v>300</v>
      </c>
      <c r="G12" s="143" t="s">
        <v>301</v>
      </c>
      <c r="H12" s="1178" t="s">
        <v>161</v>
      </c>
      <c r="I12" s="1180"/>
      <c r="J12" s="143" t="s">
        <v>300</v>
      </c>
      <c r="K12" s="143" t="s">
        <v>301</v>
      </c>
      <c r="L12" s="66"/>
      <c r="M12" s="66"/>
      <c r="N12" s="66"/>
    </row>
    <row r="13" spans="1:14" ht="15" thickBot="1">
      <c r="A13" s="144">
        <v>1</v>
      </c>
      <c r="B13" s="145">
        <v>100</v>
      </c>
      <c r="C13" s="145">
        <v>20</v>
      </c>
      <c r="D13" s="1181">
        <v>1</v>
      </c>
      <c r="E13" s="1182"/>
      <c r="F13" s="145">
        <v>94</v>
      </c>
      <c r="G13" s="145">
        <v>17</v>
      </c>
      <c r="H13" s="1181">
        <v>1</v>
      </c>
      <c r="I13" s="1182"/>
      <c r="J13" s="145">
        <v>93</v>
      </c>
      <c r="K13" s="145">
        <v>16</v>
      </c>
      <c r="L13" s="66"/>
      <c r="M13" s="66"/>
      <c r="N13" s="66"/>
    </row>
    <row r="14" spans="1:14" ht="15" thickBot="1">
      <c r="A14" s="144">
        <v>2</v>
      </c>
      <c r="B14" s="145">
        <v>93</v>
      </c>
      <c r="C14" s="145">
        <v>26</v>
      </c>
      <c r="D14" s="1181">
        <v>2</v>
      </c>
      <c r="E14" s="1182"/>
      <c r="F14" s="145">
        <v>87</v>
      </c>
      <c r="G14" s="145">
        <v>25</v>
      </c>
      <c r="H14" s="1181">
        <v>2</v>
      </c>
      <c r="I14" s="1182"/>
      <c r="J14" s="145">
        <v>86</v>
      </c>
      <c r="K14" s="145">
        <v>25</v>
      </c>
      <c r="L14" s="66"/>
      <c r="M14" s="66"/>
      <c r="N14" s="66"/>
    </row>
    <row r="15" spans="1:14" ht="15" thickBot="1">
      <c r="A15" s="144">
        <v>3</v>
      </c>
      <c r="B15" s="145">
        <v>95</v>
      </c>
      <c r="C15" s="145">
        <v>29</v>
      </c>
      <c r="D15" s="1181">
        <v>3</v>
      </c>
      <c r="E15" s="1182"/>
      <c r="F15" s="145">
        <v>91</v>
      </c>
      <c r="G15" s="145">
        <v>30</v>
      </c>
      <c r="H15" s="1181">
        <v>3</v>
      </c>
      <c r="I15" s="1182"/>
      <c r="J15" s="145">
        <v>90</v>
      </c>
      <c r="K15" s="145">
        <v>29</v>
      </c>
      <c r="L15" s="66"/>
      <c r="M15" s="66"/>
      <c r="N15" s="66"/>
    </row>
    <row r="16" spans="1:14" ht="15" thickBot="1">
      <c r="A16" s="144">
        <v>4</v>
      </c>
      <c r="B16" s="145">
        <v>107</v>
      </c>
      <c r="C16" s="145">
        <v>10</v>
      </c>
      <c r="D16" s="1181">
        <v>4</v>
      </c>
      <c r="E16" s="1182"/>
      <c r="F16" s="145">
        <v>102</v>
      </c>
      <c r="G16" s="145">
        <v>11</v>
      </c>
      <c r="H16" s="1181">
        <v>4</v>
      </c>
      <c r="I16" s="1182"/>
      <c r="J16" s="145">
        <v>101</v>
      </c>
      <c r="K16" s="145">
        <v>10</v>
      </c>
      <c r="L16" s="66"/>
      <c r="M16" s="66"/>
      <c r="N16" s="66"/>
    </row>
    <row r="17" spans="1:14" ht="15" thickBot="1">
      <c r="A17" s="144">
        <v>5</v>
      </c>
      <c r="B17" s="145">
        <v>102</v>
      </c>
      <c r="C17" s="145">
        <v>15</v>
      </c>
      <c r="D17" s="1181">
        <v>5</v>
      </c>
      <c r="E17" s="1182"/>
      <c r="F17" s="145">
        <v>98</v>
      </c>
      <c r="G17" s="145">
        <v>15</v>
      </c>
      <c r="H17" s="1181">
        <v>5</v>
      </c>
      <c r="I17" s="1182"/>
      <c r="J17" s="145">
        <v>97</v>
      </c>
      <c r="K17" s="145">
        <v>15</v>
      </c>
      <c r="L17" s="66"/>
      <c r="M17" s="66"/>
      <c r="N17" s="66"/>
    </row>
    <row r="18" spans="1:14" ht="15" thickBot="1">
      <c r="A18" s="144">
        <v>6</v>
      </c>
      <c r="B18" s="145">
        <v>97</v>
      </c>
      <c r="C18" s="145">
        <v>30</v>
      </c>
      <c r="D18" s="1181">
        <v>6</v>
      </c>
      <c r="E18" s="1182"/>
      <c r="F18" s="145">
        <v>91</v>
      </c>
      <c r="G18" s="145">
        <v>29</v>
      </c>
      <c r="H18" s="1181">
        <v>6</v>
      </c>
      <c r="I18" s="1182"/>
      <c r="J18" s="145">
        <v>90</v>
      </c>
      <c r="K18" s="145">
        <v>29</v>
      </c>
      <c r="L18" s="66"/>
      <c r="M18" s="66"/>
      <c r="N18" s="66"/>
    </row>
    <row r="19" spans="1:14" ht="15" thickBot="1">
      <c r="A19" s="144">
        <v>7</v>
      </c>
      <c r="B19" s="145">
        <v>92</v>
      </c>
      <c r="C19" s="145">
        <v>40</v>
      </c>
      <c r="D19" s="1181">
        <v>7</v>
      </c>
      <c r="E19" s="1182"/>
      <c r="F19" s="145">
        <v>87</v>
      </c>
      <c r="G19" s="145">
        <v>41</v>
      </c>
      <c r="H19" s="1181">
        <v>7</v>
      </c>
      <c r="I19" s="1182"/>
      <c r="J19" s="145">
        <v>86</v>
      </c>
      <c r="K19" s="145">
        <v>41</v>
      </c>
      <c r="L19" s="66"/>
      <c r="M19" s="66"/>
      <c r="N19" s="66"/>
    </row>
    <row r="20" spans="1:14" ht="15" thickBot="1">
      <c r="A20" s="144">
        <v>8</v>
      </c>
      <c r="B20" s="145">
        <v>108</v>
      </c>
      <c r="C20" s="145">
        <v>20</v>
      </c>
      <c r="D20" s="1181">
        <v>8</v>
      </c>
      <c r="E20" s="1182"/>
      <c r="F20" s="145">
        <v>104</v>
      </c>
      <c r="G20" s="145">
        <v>21</v>
      </c>
      <c r="H20" s="1181">
        <v>8</v>
      </c>
      <c r="I20" s="1182"/>
      <c r="J20" s="145">
        <v>103</v>
      </c>
      <c r="K20" s="145">
        <v>21</v>
      </c>
      <c r="L20" s="66"/>
      <c r="M20" s="66"/>
      <c r="N20" s="66"/>
    </row>
    <row r="21" spans="1:14" ht="15" thickBot="1">
      <c r="A21" s="144">
        <v>9</v>
      </c>
      <c r="B21" s="145">
        <v>106</v>
      </c>
      <c r="C21" s="145">
        <v>18</v>
      </c>
      <c r="D21" s="1181">
        <v>9</v>
      </c>
      <c r="E21" s="1182"/>
      <c r="F21" s="145">
        <v>102</v>
      </c>
      <c r="G21" s="145">
        <v>16</v>
      </c>
      <c r="H21" s="1181">
        <v>9</v>
      </c>
      <c r="I21" s="1182"/>
      <c r="J21" s="145">
        <v>101</v>
      </c>
      <c r="K21" s="145">
        <v>16</v>
      </c>
      <c r="L21" s="66"/>
      <c r="M21" s="66"/>
      <c r="N21" s="66"/>
    </row>
    <row r="22" spans="1:14" ht="15" thickBot="1">
      <c r="A22" s="144">
        <v>10</v>
      </c>
      <c r="B22" s="145">
        <v>100</v>
      </c>
      <c r="C22" s="145">
        <v>22</v>
      </c>
      <c r="D22" s="1181">
        <v>10</v>
      </c>
      <c r="E22" s="1182"/>
      <c r="F22" s="145">
        <v>94</v>
      </c>
      <c r="G22" s="145">
        <v>25</v>
      </c>
      <c r="H22" s="1181">
        <v>10</v>
      </c>
      <c r="I22" s="1182"/>
      <c r="J22" s="145">
        <v>93</v>
      </c>
      <c r="K22" s="145">
        <v>24</v>
      </c>
      <c r="L22" s="66"/>
      <c r="M22" s="66"/>
      <c r="N22" s="66"/>
    </row>
    <row r="23" spans="1:14">
      <c r="A23" s="146"/>
      <c r="B23" s="146"/>
      <c r="C23" s="146"/>
      <c r="D23" s="146"/>
      <c r="E23" s="146"/>
      <c r="F23" s="146"/>
      <c r="G23" s="146"/>
      <c r="H23" s="146"/>
      <c r="I23" s="146"/>
      <c r="J23" s="146"/>
      <c r="K23" s="146"/>
      <c r="L23" s="66"/>
      <c r="M23" s="66"/>
      <c r="N23" s="66"/>
    </row>
    <row r="24" spans="1:14" ht="15.6">
      <c r="A24" s="147" t="s">
        <v>302</v>
      </c>
      <c r="B24" s="66"/>
      <c r="C24" s="66"/>
      <c r="D24" s="66"/>
      <c r="E24" s="66"/>
      <c r="F24" s="66"/>
      <c r="G24" s="66"/>
      <c r="H24" s="66"/>
      <c r="I24" s="66"/>
      <c r="J24" s="66"/>
      <c r="K24" s="66"/>
      <c r="L24" s="66"/>
      <c r="M24" s="66"/>
      <c r="N24" s="66"/>
    </row>
    <row r="25" spans="1:14" ht="15.6">
      <c r="A25" s="70" t="s">
        <v>304</v>
      </c>
      <c r="B25" s="66"/>
      <c r="C25" s="66"/>
      <c r="D25" s="66"/>
      <c r="E25" s="66"/>
      <c r="F25" s="66"/>
      <c r="G25" s="66"/>
      <c r="H25" s="66"/>
      <c r="I25" s="66"/>
      <c r="J25" s="66"/>
      <c r="K25" s="66"/>
      <c r="L25" s="66"/>
      <c r="M25" s="66"/>
      <c r="N25" s="66"/>
    </row>
    <row r="26" spans="1:14" ht="15.6" customHeight="1">
      <c r="A26" s="107" t="s">
        <v>24</v>
      </c>
    </row>
  </sheetData>
  <mergeCells count="28">
    <mergeCell ref="D21:E21"/>
    <mergeCell ref="H21:I21"/>
    <mergeCell ref="D22:E22"/>
    <mergeCell ref="H22:I22"/>
    <mergeCell ref="D18:E18"/>
    <mergeCell ref="H18:I18"/>
    <mergeCell ref="D19:E19"/>
    <mergeCell ref="H19:I19"/>
    <mergeCell ref="D20:E20"/>
    <mergeCell ref="H20:I20"/>
    <mergeCell ref="D15:E15"/>
    <mergeCell ref="H15:I15"/>
    <mergeCell ref="D16:E16"/>
    <mergeCell ref="H16:I16"/>
    <mergeCell ref="D17:E17"/>
    <mergeCell ref="H17:I17"/>
    <mergeCell ref="D12:E12"/>
    <mergeCell ref="H12:I12"/>
    <mergeCell ref="D13:E13"/>
    <mergeCell ref="H13:I13"/>
    <mergeCell ref="D14:E14"/>
    <mergeCell ref="H14:I14"/>
    <mergeCell ref="A10:C10"/>
    <mergeCell ref="D10:G10"/>
    <mergeCell ref="H10:K10"/>
    <mergeCell ref="A11:C11"/>
    <mergeCell ref="D11:G11"/>
    <mergeCell ref="H11:K11"/>
  </mergeCells>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81D96-CBC2-4B36-8D60-C574A21C5119}">
  <sheetPr>
    <tabColor theme="3"/>
  </sheetPr>
  <dimension ref="A1"/>
  <sheetViews>
    <sheetView workbookViewId="0">
      <selection activeCell="K18" sqref="K18"/>
    </sheetView>
  </sheetViews>
  <sheetFormatPr defaultRowHeight="13.2"/>
  <sheetData/>
  <pageMargins left="0.7" right="0.7" top="0.75" bottom="0.75" header="0.3" footer="0.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B418A-943B-46D1-AE10-CA5DF0F6F44F}">
  <sheetPr codeName="Sheet2"/>
  <dimension ref="A1:N30"/>
  <sheetViews>
    <sheetView workbookViewId="0">
      <selection activeCell="E10" sqref="E10"/>
    </sheetView>
  </sheetViews>
  <sheetFormatPr defaultColWidth="8.77734375" defaultRowHeight="14.4"/>
  <cols>
    <col min="1" max="1" width="16.21875" style="5" customWidth="1"/>
    <col min="2" max="2" width="14.21875" style="5" customWidth="1"/>
    <col min="3" max="16384" width="8.77734375" style="5"/>
  </cols>
  <sheetData>
    <row r="1" spans="1:14" ht="17.399999999999999">
      <c r="A1" s="3" t="s">
        <v>6</v>
      </c>
      <c r="B1" s="4"/>
      <c r="C1" s="4"/>
      <c r="D1" s="4"/>
      <c r="E1" s="4"/>
      <c r="F1" s="4"/>
      <c r="G1" s="4"/>
      <c r="H1" s="4"/>
      <c r="I1" s="4"/>
      <c r="J1" s="4"/>
      <c r="K1" s="4"/>
      <c r="L1" s="4"/>
      <c r="M1" s="4"/>
      <c r="N1" s="4"/>
    </row>
    <row r="2" spans="1:14" ht="15.6">
      <c r="A2" s="6" t="s">
        <v>7</v>
      </c>
      <c r="B2" s="4"/>
      <c r="C2" s="4"/>
      <c r="D2" s="4"/>
      <c r="E2" s="4"/>
      <c r="F2" s="4"/>
      <c r="G2" s="4"/>
      <c r="H2" s="4"/>
      <c r="I2" s="4"/>
      <c r="J2" s="4"/>
      <c r="K2" s="4"/>
      <c r="L2" s="4"/>
      <c r="M2" s="4"/>
      <c r="N2" s="4"/>
    </row>
    <row r="3" spans="1:14" ht="15.6">
      <c r="A3" s="6" t="s">
        <v>8</v>
      </c>
      <c r="B3" s="7"/>
      <c r="C3" s="7"/>
      <c r="D3" s="7"/>
      <c r="E3" s="7"/>
      <c r="F3" s="7"/>
      <c r="G3" s="7"/>
      <c r="H3" s="7"/>
      <c r="I3" s="7"/>
      <c r="J3" s="7"/>
      <c r="K3" s="4"/>
      <c r="L3" s="4"/>
      <c r="M3" s="4"/>
      <c r="N3" s="4"/>
    </row>
    <row r="4" spans="1:14">
      <c r="A4" s="4"/>
      <c r="B4" s="4"/>
      <c r="C4" s="4"/>
      <c r="D4" s="4"/>
      <c r="E4" s="4"/>
      <c r="F4" s="4"/>
      <c r="G4" s="4"/>
      <c r="H4" s="4"/>
      <c r="I4" s="4"/>
      <c r="J4" s="4"/>
      <c r="K4" s="4"/>
      <c r="L4" s="4"/>
      <c r="M4" s="4"/>
      <c r="N4" s="4"/>
    </row>
    <row r="5" spans="1:14" ht="15.6">
      <c r="A5" s="8" t="s">
        <v>9</v>
      </c>
      <c r="B5" s="4"/>
      <c r="C5" s="4"/>
      <c r="D5" s="4"/>
      <c r="E5" s="4"/>
      <c r="F5" s="4"/>
      <c r="G5" s="4"/>
      <c r="H5" s="4"/>
      <c r="I5" s="4"/>
      <c r="J5" s="4"/>
      <c r="K5" s="4"/>
      <c r="L5" s="4"/>
      <c r="M5" s="4"/>
      <c r="N5" s="4"/>
    </row>
    <row r="6" spans="1:14" ht="15.6">
      <c r="A6" s="9" t="s">
        <v>10</v>
      </c>
      <c r="B6" s="4"/>
      <c r="C6" s="4"/>
      <c r="D6" s="4"/>
      <c r="E6" s="4"/>
      <c r="F6" s="4"/>
      <c r="G6" s="4"/>
      <c r="H6" s="4"/>
      <c r="I6" s="4"/>
      <c r="J6" s="4"/>
      <c r="K6" s="4"/>
      <c r="L6" s="4"/>
      <c r="M6" s="4"/>
      <c r="N6" s="4"/>
    </row>
    <row r="7" spans="1:14" ht="16.2" thickBot="1">
      <c r="A7" s="10"/>
      <c r="B7" s="4"/>
      <c r="C7" s="4"/>
      <c r="D7" s="4"/>
      <c r="E7" s="4"/>
      <c r="F7" s="4"/>
      <c r="G7" s="4"/>
      <c r="H7" s="4"/>
      <c r="I7" s="4"/>
      <c r="J7" s="4"/>
      <c r="K7" s="4"/>
      <c r="L7" s="4"/>
      <c r="M7" s="4"/>
      <c r="N7" s="4"/>
    </row>
    <row r="8" spans="1:14" ht="31.8" thickBot="1">
      <c r="A8" s="11" t="s">
        <v>11</v>
      </c>
      <c r="B8" s="12" t="s">
        <v>12</v>
      </c>
      <c r="C8" s="4"/>
      <c r="D8" s="4"/>
      <c r="E8" s="4"/>
      <c r="F8" s="4"/>
      <c r="G8" s="4"/>
      <c r="H8" s="4"/>
      <c r="I8" s="4"/>
      <c r="J8" s="4"/>
      <c r="K8" s="4"/>
      <c r="L8" s="4"/>
      <c r="M8" s="4"/>
      <c r="N8" s="4"/>
    </row>
    <row r="9" spans="1:14" ht="16.2" thickBot="1">
      <c r="A9" s="13" t="s">
        <v>13</v>
      </c>
      <c r="B9" s="14">
        <v>390</v>
      </c>
      <c r="C9" s="4"/>
      <c r="D9" s="4"/>
      <c r="E9" s="4"/>
      <c r="F9" s="4"/>
      <c r="G9" s="4"/>
      <c r="H9" s="4"/>
      <c r="I9" s="4"/>
      <c r="J9" s="4"/>
      <c r="K9" s="4"/>
      <c r="L9" s="4"/>
      <c r="M9" s="4"/>
      <c r="N9" s="4"/>
    </row>
    <row r="10" spans="1:14" ht="16.2" thickBot="1">
      <c r="A10" s="13" t="s">
        <v>14</v>
      </c>
      <c r="B10" s="14">
        <v>200</v>
      </c>
      <c r="C10" s="4"/>
      <c r="D10" s="4"/>
      <c r="E10" s="4"/>
      <c r="F10" s="4"/>
      <c r="G10" s="4"/>
      <c r="H10" s="4"/>
      <c r="I10" s="4"/>
      <c r="J10" s="4"/>
      <c r="K10" s="4"/>
      <c r="L10" s="4"/>
      <c r="M10" s="4"/>
      <c r="N10" s="4"/>
    </row>
    <row r="11" spans="1:14" ht="16.2" thickBot="1">
      <c r="A11" s="13" t="s">
        <v>15</v>
      </c>
      <c r="B11" s="14">
        <v>325</v>
      </c>
      <c r="C11" s="4"/>
      <c r="D11" s="4"/>
      <c r="E11" s="4"/>
      <c r="F11" s="4"/>
      <c r="G11" s="4"/>
      <c r="H11" s="4"/>
      <c r="I11" s="4"/>
      <c r="J11" s="4"/>
      <c r="K11" s="4"/>
      <c r="L11" s="4"/>
      <c r="M11" s="4"/>
      <c r="N11" s="4"/>
    </row>
    <row r="12" spans="1:14" ht="16.2" thickBot="1">
      <c r="A12" s="15"/>
      <c r="B12" s="16"/>
      <c r="C12" s="4"/>
      <c r="D12" s="4"/>
      <c r="E12" s="4"/>
      <c r="F12" s="4"/>
      <c r="G12" s="4"/>
      <c r="H12" s="4"/>
      <c r="I12" s="4"/>
      <c r="J12" s="4"/>
      <c r="K12" s="4"/>
      <c r="L12" s="4"/>
      <c r="M12" s="4"/>
      <c r="N12" s="4"/>
    </row>
    <row r="13" spans="1:14" ht="31.8" thickBot="1">
      <c r="A13" s="17" t="s">
        <v>16</v>
      </c>
      <c r="B13" s="18" t="s">
        <v>17</v>
      </c>
      <c r="C13" s="4"/>
      <c r="D13" s="4"/>
      <c r="E13" s="4"/>
      <c r="F13" s="4"/>
      <c r="G13" s="4"/>
      <c r="H13" s="4"/>
      <c r="I13" s="4"/>
      <c r="J13" s="4"/>
      <c r="K13" s="4"/>
      <c r="L13" s="4"/>
      <c r="M13" s="4"/>
      <c r="N13" s="4"/>
    </row>
    <row r="14" spans="1:14" ht="16.2" thickBot="1">
      <c r="A14" s="13" t="s">
        <v>18</v>
      </c>
      <c r="B14" s="14">
        <v>460</v>
      </c>
      <c r="C14" s="4"/>
      <c r="D14" s="4"/>
      <c r="E14" s="4"/>
      <c r="F14" s="4"/>
      <c r="G14" s="4"/>
      <c r="H14" s="4"/>
      <c r="I14" s="4"/>
      <c r="J14" s="4"/>
      <c r="K14" s="4"/>
      <c r="L14" s="4"/>
      <c r="M14" s="4"/>
      <c r="N14" s="4"/>
    </row>
    <row r="15" spans="1:14" ht="16.2" thickBot="1">
      <c r="A15" s="13" t="s">
        <v>19</v>
      </c>
      <c r="B15" s="14">
        <v>520</v>
      </c>
      <c r="C15" s="4"/>
      <c r="D15" s="4"/>
      <c r="E15" s="4"/>
      <c r="F15" s="4"/>
      <c r="G15" s="4"/>
      <c r="H15" s="4"/>
      <c r="I15" s="4"/>
      <c r="J15" s="4"/>
      <c r="K15" s="4"/>
      <c r="L15" s="4"/>
      <c r="M15" s="4"/>
      <c r="N15" s="4"/>
    </row>
    <row r="16" spans="1:14" ht="16.2" thickBot="1">
      <c r="A16" s="13" t="s">
        <v>20</v>
      </c>
      <c r="B16" s="14">
        <v>600</v>
      </c>
      <c r="C16" s="4"/>
      <c r="D16" s="4"/>
      <c r="E16" s="4"/>
      <c r="F16" s="4"/>
      <c r="G16" s="4"/>
      <c r="H16" s="4"/>
      <c r="I16" s="4"/>
      <c r="J16" s="4"/>
      <c r="K16" s="4"/>
      <c r="L16" s="4"/>
      <c r="M16" s="4"/>
      <c r="N16" s="4"/>
    </row>
    <row r="17" spans="1:14" ht="16.2" thickBot="1">
      <c r="A17" s="13" t="s">
        <v>21</v>
      </c>
      <c r="B17" s="14">
        <v>700</v>
      </c>
      <c r="C17" s="4"/>
      <c r="D17" s="4"/>
      <c r="E17" s="4"/>
      <c r="F17" s="4"/>
      <c r="G17" s="4"/>
      <c r="H17" s="4"/>
      <c r="I17" s="4"/>
      <c r="J17" s="4"/>
      <c r="K17" s="4"/>
      <c r="L17" s="4"/>
      <c r="M17" s="4"/>
      <c r="N17" s="4"/>
    </row>
    <row r="18" spans="1:14" ht="15.6">
      <c r="A18" s="19"/>
    </row>
    <row r="19" spans="1:14">
      <c r="A19" s="20"/>
    </row>
    <row r="20" spans="1:14" s="23" customFormat="1" ht="15.6">
      <c r="A20" s="21" t="s">
        <v>22</v>
      </c>
      <c r="B20" s="22"/>
      <c r="C20" s="22"/>
      <c r="D20" s="22"/>
      <c r="E20" s="22"/>
      <c r="F20" s="22"/>
      <c r="G20" s="22"/>
      <c r="H20" s="22"/>
      <c r="I20" s="22"/>
      <c r="J20" s="22"/>
      <c r="K20" s="22"/>
      <c r="L20" s="22"/>
      <c r="M20" s="22"/>
      <c r="N20" s="22"/>
    </row>
    <row r="21" spans="1:14" s="23" customFormat="1" ht="15.6">
      <c r="A21" s="24"/>
    </row>
    <row r="22" spans="1:14" s="26" customFormat="1" ht="15.6">
      <c r="A22" s="25" t="s">
        <v>23</v>
      </c>
    </row>
    <row r="23" spans="1:14" s="23" customFormat="1" ht="15.6">
      <c r="A23" s="24" t="s">
        <v>24</v>
      </c>
    </row>
    <row r="24" spans="1:14" s="23" customFormat="1" ht="15.6">
      <c r="A24" s="24"/>
    </row>
    <row r="25" spans="1:14" s="26" customFormat="1" ht="15.6">
      <c r="A25" s="25" t="s">
        <v>25</v>
      </c>
    </row>
    <row r="26" spans="1:14" s="23" customFormat="1" ht="15.6">
      <c r="A26" s="24" t="s">
        <v>24</v>
      </c>
    </row>
    <row r="27" spans="1:14" s="23" customFormat="1" ht="15.6">
      <c r="A27" s="24"/>
    </row>
    <row r="28" spans="1:14" s="26" customFormat="1" ht="15.6">
      <c r="A28" s="25" t="s">
        <v>26</v>
      </c>
    </row>
    <row r="29" spans="1:14" s="23" customFormat="1" ht="15.6">
      <c r="A29" s="24" t="s">
        <v>24</v>
      </c>
    </row>
    <row r="30" spans="1:14" s="23" customFormat="1" ht="15.6"/>
  </sheetData>
  <pageMargins left="0.7" right="0.7" top="0.75" bottom="0.75" header="0.3" footer="0.3"/>
  <pageSetup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39D6A-C2F1-4562-B0E7-AB76CD3671C1}">
  <sheetPr codeName="Sheet3">
    <tabColor rgb="FFFF0000"/>
  </sheetPr>
  <dimension ref="A1:P20"/>
  <sheetViews>
    <sheetView workbookViewId="0">
      <selection activeCell="F10" sqref="F10"/>
    </sheetView>
  </sheetViews>
  <sheetFormatPr defaultColWidth="8.77734375" defaultRowHeight="14.4"/>
  <cols>
    <col min="1" max="1" width="16.44140625" style="50" customWidth="1"/>
    <col min="2" max="2" width="16.5546875" style="50" customWidth="1"/>
    <col min="3" max="16384" width="8.77734375" style="50"/>
  </cols>
  <sheetData>
    <row r="1" spans="1:16" ht="17.399999999999999">
      <c r="A1" s="48" t="s">
        <v>27</v>
      </c>
      <c r="B1" s="49"/>
      <c r="C1" s="49"/>
      <c r="D1" s="49"/>
      <c r="E1" s="49"/>
      <c r="F1" s="49"/>
      <c r="G1" s="49"/>
      <c r="H1" s="49"/>
      <c r="I1" s="49"/>
      <c r="J1" s="49"/>
      <c r="K1" s="49"/>
      <c r="L1" s="49"/>
      <c r="M1" s="49"/>
      <c r="N1" s="49"/>
      <c r="O1" s="49"/>
      <c r="P1" s="49"/>
    </row>
    <row r="2" spans="1:16" s="62" customFormat="1" ht="15.6">
      <c r="A2" s="51" t="s">
        <v>28</v>
      </c>
      <c r="B2" s="369"/>
      <c r="C2" s="369"/>
      <c r="D2" s="369"/>
      <c r="E2" s="369"/>
      <c r="F2" s="369"/>
      <c r="G2" s="369"/>
      <c r="H2" s="369"/>
      <c r="I2" s="369"/>
      <c r="J2" s="369"/>
      <c r="K2" s="369"/>
      <c r="L2" s="369"/>
      <c r="M2" s="369"/>
      <c r="N2" s="369"/>
      <c r="O2" s="369"/>
      <c r="P2" s="369"/>
    </row>
    <row r="3" spans="1:16" s="62" customFormat="1" ht="15.6">
      <c r="A3" s="51" t="s">
        <v>29</v>
      </c>
      <c r="B3" s="369"/>
      <c r="C3" s="369"/>
      <c r="D3" s="369"/>
      <c r="E3" s="369"/>
      <c r="F3" s="369"/>
      <c r="G3" s="369"/>
      <c r="H3" s="369"/>
      <c r="I3" s="369"/>
      <c r="J3" s="369"/>
      <c r="K3" s="369"/>
      <c r="L3" s="369"/>
      <c r="M3" s="369"/>
      <c r="N3" s="369"/>
      <c r="O3" s="369"/>
      <c r="P3" s="369"/>
    </row>
    <row r="4" spans="1:16" ht="15.6">
      <c r="A4" s="51"/>
      <c r="B4" s="49"/>
      <c r="C4" s="49"/>
      <c r="D4" s="49"/>
      <c r="E4" s="49"/>
      <c r="F4" s="49"/>
      <c r="G4" s="49"/>
      <c r="H4" s="49"/>
      <c r="I4" s="49"/>
      <c r="J4" s="49"/>
      <c r="K4" s="49"/>
      <c r="L4" s="49"/>
      <c r="M4" s="49"/>
      <c r="N4" s="49"/>
      <c r="O4" s="49"/>
      <c r="P4" s="49"/>
    </row>
    <row r="5" spans="1:16" ht="15.6">
      <c r="A5" s="52" t="s">
        <v>30</v>
      </c>
      <c r="B5" s="53"/>
      <c r="C5" s="49"/>
      <c r="D5" s="49"/>
      <c r="E5" s="49"/>
      <c r="F5" s="49"/>
      <c r="G5" s="49"/>
      <c r="H5" s="49"/>
      <c r="I5" s="49"/>
      <c r="J5" s="49"/>
      <c r="K5" s="49"/>
      <c r="L5" s="49"/>
      <c r="M5" s="49"/>
      <c r="N5" s="49"/>
      <c r="O5" s="49"/>
      <c r="P5" s="49"/>
    </row>
    <row r="6" spans="1:16" ht="16.2" thickBot="1">
      <c r="A6" s="52"/>
      <c r="B6" s="53"/>
      <c r="C6" s="49"/>
      <c r="D6" s="49"/>
      <c r="E6" s="49"/>
      <c r="F6" s="49"/>
      <c r="G6" s="49"/>
      <c r="H6" s="49"/>
      <c r="I6" s="49"/>
      <c r="J6" s="49"/>
      <c r="K6" s="49"/>
      <c r="L6" s="49"/>
      <c r="M6" s="49"/>
      <c r="N6" s="49"/>
      <c r="O6" s="49"/>
      <c r="P6" s="49"/>
    </row>
    <row r="7" spans="1:16" ht="18.600000000000001" customHeight="1" thickBot="1">
      <c r="A7" s="370" t="s">
        <v>31</v>
      </c>
      <c r="B7" s="371">
        <v>15</v>
      </c>
      <c r="C7" s="49"/>
      <c r="D7" s="49"/>
      <c r="E7" s="49"/>
      <c r="F7" s="49"/>
      <c r="G7" s="49"/>
      <c r="H7" s="49"/>
      <c r="I7" s="49"/>
      <c r="J7" s="49"/>
      <c r="K7" s="49"/>
      <c r="L7" s="49"/>
      <c r="M7" s="49"/>
      <c r="N7" s="49"/>
      <c r="O7" s="49"/>
      <c r="P7" s="49"/>
    </row>
    <row r="8" spans="1:16" ht="16.2" thickBot="1">
      <c r="A8" s="372" t="s">
        <v>32</v>
      </c>
      <c r="B8" s="373">
        <v>5</v>
      </c>
      <c r="C8" s="49"/>
      <c r="D8" s="49"/>
      <c r="E8" s="49"/>
      <c r="F8" s="49"/>
      <c r="G8" s="49"/>
      <c r="H8" s="49"/>
      <c r="I8" s="49"/>
      <c r="J8" s="49"/>
      <c r="K8" s="49"/>
      <c r="L8" s="49"/>
      <c r="M8" s="49"/>
      <c r="N8" s="49"/>
      <c r="O8" s="49"/>
      <c r="P8" s="49"/>
    </row>
    <row r="9" spans="1:16" ht="16.2" thickBot="1">
      <c r="A9" s="372" t="s">
        <v>1</v>
      </c>
      <c r="B9" s="373">
        <v>5</v>
      </c>
      <c r="C9" s="49"/>
      <c r="D9" s="49"/>
      <c r="E9" s="49"/>
      <c r="F9" s="49"/>
      <c r="G9" s="49"/>
      <c r="H9" s="49"/>
      <c r="I9" s="49"/>
      <c r="J9" s="49"/>
      <c r="K9" s="49"/>
      <c r="L9" s="49"/>
      <c r="M9" s="49"/>
      <c r="N9" s="49"/>
      <c r="O9" s="49"/>
      <c r="P9" s="49"/>
    </row>
    <row r="10" spans="1:16" ht="16.2" thickBot="1">
      <c r="A10" s="372" t="s">
        <v>33</v>
      </c>
      <c r="B10" s="373">
        <v>15</v>
      </c>
      <c r="C10" s="49"/>
      <c r="D10" s="49"/>
      <c r="E10" s="49"/>
      <c r="F10" s="49"/>
      <c r="G10" s="49"/>
      <c r="H10" s="49"/>
      <c r="I10" s="49"/>
      <c r="J10" s="49"/>
      <c r="K10" s="49"/>
      <c r="L10" s="49"/>
      <c r="M10" s="49"/>
      <c r="N10" s="49"/>
      <c r="O10" s="49"/>
      <c r="P10" s="49"/>
    </row>
    <row r="11" spans="1:16" ht="16.2" thickBot="1">
      <c r="A11" s="372" t="s">
        <v>34</v>
      </c>
      <c r="B11" s="373">
        <v>5</v>
      </c>
      <c r="C11" s="49"/>
      <c r="D11" s="49"/>
      <c r="E11" s="49"/>
      <c r="F11" s="49"/>
      <c r="G11" s="49"/>
      <c r="H11" s="49"/>
      <c r="I11" s="49"/>
      <c r="J11" s="49"/>
      <c r="K11" s="49"/>
      <c r="L11" s="49"/>
      <c r="M11" s="49"/>
      <c r="N11" s="49"/>
      <c r="O11" s="49"/>
      <c r="P11" s="49"/>
    </row>
    <row r="12" spans="1:16" ht="16.2" thickBot="1">
      <c r="A12" s="372" t="s">
        <v>2</v>
      </c>
      <c r="B12" s="373">
        <v>2</v>
      </c>
      <c r="C12" s="49"/>
      <c r="D12" s="49"/>
      <c r="E12" s="49"/>
      <c r="F12" s="49"/>
      <c r="G12" s="49"/>
      <c r="H12" s="49"/>
      <c r="I12" s="49"/>
      <c r="J12" s="49"/>
      <c r="K12" s="49"/>
      <c r="L12" s="49"/>
      <c r="M12" s="49"/>
      <c r="N12" s="49"/>
      <c r="O12" s="49"/>
      <c r="P12" s="49"/>
    </row>
    <row r="13" spans="1:16" ht="18" customHeight="1" thickBot="1">
      <c r="A13" s="372" t="s">
        <v>35</v>
      </c>
      <c r="B13" s="373">
        <v>100</v>
      </c>
      <c r="C13" s="49"/>
      <c r="D13" s="49"/>
      <c r="E13" s="49"/>
      <c r="F13" s="49"/>
      <c r="G13" s="49"/>
      <c r="H13" s="49"/>
      <c r="I13" s="49"/>
      <c r="J13" s="49"/>
      <c r="K13" s="49"/>
      <c r="L13" s="49"/>
      <c r="M13" s="49"/>
      <c r="N13" s="49"/>
      <c r="O13" s="49"/>
      <c r="P13" s="49"/>
    </row>
    <row r="14" spans="1:16" ht="15.6">
      <c r="A14" s="52"/>
      <c r="B14" s="53"/>
      <c r="C14" s="49"/>
      <c r="D14" s="49"/>
      <c r="E14" s="49"/>
      <c r="F14" s="49"/>
      <c r="G14" s="49"/>
      <c r="H14" s="49"/>
      <c r="I14" s="49"/>
      <c r="J14" s="49"/>
      <c r="K14" s="49"/>
      <c r="L14" s="49"/>
      <c r="M14" s="49"/>
      <c r="N14" s="49"/>
      <c r="O14" s="49"/>
      <c r="P14" s="49"/>
    </row>
    <row r="15" spans="1:16" ht="15.6">
      <c r="A15" s="54" t="s">
        <v>36</v>
      </c>
      <c r="B15" s="53"/>
      <c r="C15" s="49"/>
      <c r="D15" s="49"/>
      <c r="E15" s="49"/>
      <c r="F15" s="49"/>
      <c r="G15" s="49"/>
      <c r="H15" s="49"/>
      <c r="I15" s="49"/>
      <c r="J15" s="49"/>
      <c r="K15" s="49"/>
      <c r="L15" s="49"/>
      <c r="M15" s="49"/>
      <c r="N15" s="49"/>
      <c r="O15" s="49"/>
      <c r="P15" s="49"/>
    </row>
    <row r="16" spans="1:16" ht="16.05" customHeight="1">
      <c r="A16" s="53"/>
      <c r="B16" s="53"/>
      <c r="C16" s="49"/>
      <c r="D16" s="49"/>
      <c r="E16" s="49"/>
      <c r="F16" s="49"/>
      <c r="G16" s="49"/>
      <c r="H16" s="49"/>
      <c r="I16" s="49"/>
      <c r="J16" s="49"/>
      <c r="K16" s="49"/>
      <c r="L16" s="49"/>
      <c r="M16" s="49"/>
      <c r="N16" s="49"/>
      <c r="O16" s="49"/>
      <c r="P16" s="49"/>
    </row>
    <row r="17" spans="1:16" ht="15.6">
      <c r="A17" s="52"/>
      <c r="B17" s="53"/>
      <c r="C17" s="49"/>
      <c r="D17" s="49"/>
      <c r="E17" s="49"/>
      <c r="F17" s="49"/>
      <c r="G17" s="49"/>
      <c r="H17" s="49"/>
      <c r="I17" s="49"/>
      <c r="J17" s="49"/>
      <c r="K17" s="49"/>
      <c r="L17" s="49"/>
      <c r="M17" s="49"/>
      <c r="N17" s="49"/>
      <c r="O17" s="49"/>
      <c r="P17" s="49"/>
    </row>
    <row r="18" spans="1:16" ht="15.6">
      <c r="A18" s="52" t="s">
        <v>796</v>
      </c>
      <c r="B18" s="53"/>
      <c r="C18" s="49"/>
      <c r="D18" s="49"/>
      <c r="E18" s="49"/>
      <c r="F18" s="49"/>
      <c r="G18" s="49"/>
      <c r="H18" s="49"/>
      <c r="I18" s="49"/>
      <c r="J18" s="49"/>
      <c r="K18" s="49"/>
      <c r="L18" s="49"/>
      <c r="M18" s="49"/>
      <c r="N18" s="49"/>
      <c r="O18" s="49"/>
      <c r="P18" s="49"/>
    </row>
    <row r="19" spans="1:16" ht="15.6">
      <c r="A19" s="52" t="s">
        <v>37</v>
      </c>
      <c r="B19" s="53"/>
      <c r="C19" s="49"/>
      <c r="D19" s="49"/>
      <c r="E19" s="49"/>
      <c r="F19" s="49"/>
      <c r="G19" s="49"/>
      <c r="H19" s="49"/>
      <c r="I19" s="49"/>
      <c r="J19" s="49"/>
      <c r="K19" s="49"/>
      <c r="L19" s="49"/>
      <c r="M19" s="49"/>
      <c r="N19" s="49"/>
      <c r="O19" s="49"/>
      <c r="P19" s="49"/>
    </row>
    <row r="20" spans="1:16" ht="15.6">
      <c r="A20" s="377" t="s">
        <v>24</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D3E67-E0D3-49E6-AE5D-66E0423377DC}">
  <sheetPr>
    <tabColor rgb="FFFF0000"/>
  </sheetPr>
  <dimension ref="A1:C37"/>
  <sheetViews>
    <sheetView workbookViewId="0">
      <selection sqref="A1:XFD1048576"/>
    </sheetView>
  </sheetViews>
  <sheetFormatPr defaultColWidth="9.21875" defaultRowHeight="14.4"/>
  <cols>
    <col min="1" max="1" width="32.44140625" style="727" customWidth="1"/>
    <col min="2" max="2" width="17.5546875" style="727" customWidth="1"/>
    <col min="3" max="3" width="13.77734375" style="727" customWidth="1"/>
    <col min="4" max="4" width="10.77734375" style="727" customWidth="1"/>
    <col min="5" max="16384" width="9.21875" style="727"/>
  </cols>
  <sheetData>
    <row r="1" spans="1:3" s="729" customFormat="1" ht="17.399999999999999">
      <c r="A1" s="730" t="s">
        <v>408</v>
      </c>
    </row>
    <row r="2" spans="1:3" s="729" customFormat="1" ht="15.6">
      <c r="A2" s="728"/>
    </row>
    <row r="3" spans="1:3" s="729" customFormat="1" ht="15.6">
      <c r="A3" s="986" t="s">
        <v>1853</v>
      </c>
    </row>
    <row r="4" spans="1:3" s="729" customFormat="1" ht="15.6">
      <c r="A4" s="741"/>
    </row>
    <row r="5" spans="1:3" s="729" customFormat="1" ht="15.6">
      <c r="A5" s="875" t="s">
        <v>1854</v>
      </c>
    </row>
    <row r="6" spans="1:3" s="729" customFormat="1" ht="15.6">
      <c r="A6" s="875" t="s">
        <v>1855</v>
      </c>
    </row>
    <row r="7" spans="1:3" s="729" customFormat="1" ht="15.6">
      <c r="A7" s="875" t="s">
        <v>1856</v>
      </c>
    </row>
    <row r="8" spans="1:3" s="729" customFormat="1" ht="15.6">
      <c r="A8" s="875" t="s">
        <v>1857</v>
      </c>
    </row>
    <row r="9" spans="1:3" s="729" customFormat="1" ht="15.6">
      <c r="A9" s="875" t="s">
        <v>1858</v>
      </c>
    </row>
    <row r="10" spans="1:3" s="729" customFormat="1" ht="15.6">
      <c r="A10" s="875" t="s">
        <v>1859</v>
      </c>
    </row>
    <row r="11" spans="1:3" s="729" customFormat="1" ht="15.6">
      <c r="A11" s="875" t="s">
        <v>1860</v>
      </c>
    </row>
    <row r="12" spans="1:3" s="729" customFormat="1" ht="16.2" thickBot="1">
      <c r="A12" s="728"/>
    </row>
    <row r="13" spans="1:3" s="729" customFormat="1" ht="16.2" thickBot="1">
      <c r="A13" s="742"/>
      <c r="B13" s="747" t="s">
        <v>1747</v>
      </c>
      <c r="C13" s="747" t="s">
        <v>1748</v>
      </c>
    </row>
    <row r="14" spans="1:3" s="729" customFormat="1" ht="16.2" thickBot="1">
      <c r="A14" s="743" t="s">
        <v>886</v>
      </c>
      <c r="B14" s="1037">
        <v>288</v>
      </c>
      <c r="C14" s="1037">
        <v>260</v>
      </c>
    </row>
    <row r="15" spans="1:3" s="729" customFormat="1" ht="16.2" thickBot="1">
      <c r="A15" s="743" t="s">
        <v>1749</v>
      </c>
      <c r="B15" s="1037">
        <v>250</v>
      </c>
      <c r="C15" s="1037">
        <v>225</v>
      </c>
    </row>
    <row r="16" spans="1:3" s="729" customFormat="1" ht="31.5" customHeight="1">
      <c r="A16" s="1059" t="s">
        <v>1750</v>
      </c>
      <c r="B16" s="1059">
        <v>105</v>
      </c>
      <c r="C16" s="1059">
        <v>95</v>
      </c>
    </row>
    <row r="17" spans="1:3" s="729" customFormat="1" ht="15" thickBot="1">
      <c r="A17" s="1060"/>
      <c r="B17" s="1060"/>
      <c r="C17" s="1060"/>
    </row>
    <row r="18" spans="1:3" s="729" customFormat="1" ht="47.4" thickBot="1">
      <c r="A18" s="743" t="s">
        <v>1751</v>
      </c>
      <c r="B18" s="1037">
        <v>108</v>
      </c>
      <c r="C18" s="1037">
        <v>98</v>
      </c>
    </row>
    <row r="19" spans="1:3" s="729" customFormat="1" ht="31.8" thickBot="1">
      <c r="A19" s="743" t="s">
        <v>1752</v>
      </c>
      <c r="B19" s="748">
        <v>1250</v>
      </c>
      <c r="C19" s="748">
        <v>1130</v>
      </c>
    </row>
    <row r="20" spans="1:3" s="729" customFormat="1" ht="15.6">
      <c r="A20" s="728"/>
    </row>
    <row r="21" spans="1:3" s="729" customFormat="1" ht="15.6">
      <c r="A21" s="728" t="s">
        <v>1753</v>
      </c>
    </row>
    <row r="22" spans="1:3" ht="15.6">
      <c r="A22" s="1036" t="s">
        <v>1836</v>
      </c>
    </row>
    <row r="23" spans="1:3" ht="15.6">
      <c r="A23" s="868" t="s">
        <v>1835</v>
      </c>
    </row>
    <row r="24" spans="1:3" ht="15.6">
      <c r="A24" s="868"/>
    </row>
    <row r="25" spans="1:3" ht="15.6">
      <c r="A25" s="868" t="s">
        <v>1834</v>
      </c>
    </row>
    <row r="26" spans="1:3" ht="15.6">
      <c r="A26" s="868"/>
    </row>
    <row r="27" spans="1:3" ht="15.6">
      <c r="A27" s="868" t="s">
        <v>1833</v>
      </c>
    </row>
    <row r="28" spans="1:3" ht="15.6">
      <c r="A28" s="1038" t="s">
        <v>1861</v>
      </c>
    </row>
    <row r="29" spans="1:3" ht="15.6">
      <c r="A29" s="1038" t="s">
        <v>1862</v>
      </c>
    </row>
    <row r="30" spans="1:3" ht="15.6">
      <c r="A30" s="1038" t="s">
        <v>1863</v>
      </c>
    </row>
    <row r="31" spans="1:3" ht="15.6">
      <c r="A31" s="1038" t="s">
        <v>1864</v>
      </c>
    </row>
    <row r="32" spans="1:3" ht="15.6">
      <c r="A32" s="1038" t="s">
        <v>1865</v>
      </c>
    </row>
    <row r="33" spans="1:3" ht="15.6">
      <c r="A33" s="1038" t="s">
        <v>1866</v>
      </c>
    </row>
    <row r="34" spans="1:3" ht="15.6">
      <c r="A34" s="868"/>
    </row>
    <row r="35" spans="1:3" ht="15.6">
      <c r="A35" s="868" t="s">
        <v>1832</v>
      </c>
      <c r="B35" s="1039"/>
      <c r="C35" s="1039"/>
    </row>
    <row r="36" spans="1:3" ht="15.6">
      <c r="A36" s="868"/>
    </row>
    <row r="37" spans="1:3" ht="15.6">
      <c r="A37" s="868" t="s">
        <v>1831</v>
      </c>
    </row>
  </sheetData>
  <mergeCells count="3">
    <mergeCell ref="A16:A17"/>
    <mergeCell ref="B16:B17"/>
    <mergeCell ref="C16:C17"/>
  </mergeCells>
  <pageMargins left="0.7" right="0.7" top="0.75" bottom="0.75" header="0.3" footer="0.3"/>
  <pageSetup orientation="portrait" r:id="rId1"/>
  <headerFooter>
    <oddFooter>&amp;C_x000D_&amp;1#&amp;"Calibri"&amp;10&amp;K000000 CONFIDENTIAL</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A2B91-EE05-49F7-B7C1-5641DA520DDD}">
  <sheetPr codeName="Sheet4">
    <tabColor rgb="FFFF0000"/>
  </sheetPr>
  <dimension ref="A1:P28"/>
  <sheetViews>
    <sheetView workbookViewId="0">
      <selection activeCell="F10" sqref="F10"/>
    </sheetView>
  </sheetViews>
  <sheetFormatPr defaultColWidth="8.77734375" defaultRowHeight="14.4"/>
  <cols>
    <col min="1" max="1" width="16.44140625" style="50" customWidth="1"/>
    <col min="2" max="2" width="16.5546875" style="50" customWidth="1"/>
    <col min="3" max="16384" width="8.77734375" style="50"/>
  </cols>
  <sheetData>
    <row r="1" spans="1:16" ht="17.399999999999999">
      <c r="A1" s="48" t="s">
        <v>27</v>
      </c>
      <c r="B1" s="49"/>
      <c r="C1" s="49"/>
      <c r="D1" s="49"/>
      <c r="E1" s="49"/>
      <c r="F1" s="49"/>
      <c r="G1" s="49"/>
      <c r="H1" s="49"/>
      <c r="I1" s="49"/>
      <c r="J1" s="49"/>
      <c r="K1" s="49"/>
      <c r="L1" s="49"/>
      <c r="M1" s="49"/>
      <c r="N1" s="49"/>
      <c r="O1" s="49"/>
      <c r="P1" s="49"/>
    </row>
    <row r="2" spans="1:16" s="62" customFormat="1" ht="15.6">
      <c r="A2" s="51" t="s">
        <v>28</v>
      </c>
      <c r="B2" s="369"/>
      <c r="C2" s="369"/>
      <c r="D2" s="369"/>
      <c r="E2" s="369"/>
      <c r="F2" s="369"/>
      <c r="G2" s="369"/>
      <c r="H2" s="369"/>
      <c r="I2" s="369"/>
      <c r="J2" s="369"/>
      <c r="K2" s="369"/>
      <c r="L2" s="369"/>
      <c r="M2" s="369"/>
      <c r="N2" s="369"/>
      <c r="O2" s="369"/>
      <c r="P2" s="369"/>
    </row>
    <row r="3" spans="1:16" s="62" customFormat="1" ht="15.6">
      <c r="A3" s="51" t="s">
        <v>29</v>
      </c>
      <c r="B3" s="369"/>
      <c r="C3" s="369"/>
      <c r="D3" s="369"/>
      <c r="E3" s="369"/>
      <c r="F3" s="369"/>
      <c r="G3" s="369"/>
      <c r="H3" s="369"/>
      <c r="I3" s="369"/>
      <c r="J3" s="369"/>
      <c r="K3" s="369"/>
      <c r="L3" s="369"/>
      <c r="M3" s="369"/>
      <c r="N3" s="369"/>
      <c r="O3" s="369"/>
      <c r="P3" s="369"/>
    </row>
    <row r="4" spans="1:16" ht="15.6">
      <c r="A4" s="51"/>
      <c r="B4" s="49"/>
      <c r="C4" s="49"/>
      <c r="D4" s="49"/>
      <c r="E4" s="49"/>
      <c r="F4" s="49"/>
      <c r="G4" s="49"/>
      <c r="H4" s="49"/>
      <c r="I4" s="49"/>
      <c r="J4" s="49"/>
      <c r="K4" s="49"/>
      <c r="L4" s="49"/>
      <c r="M4" s="49"/>
      <c r="N4" s="49"/>
      <c r="O4" s="49"/>
      <c r="P4" s="49"/>
    </row>
    <row r="5" spans="1:16" ht="15.6">
      <c r="A5" s="52" t="s">
        <v>30</v>
      </c>
      <c r="B5" s="53"/>
      <c r="C5" s="49"/>
      <c r="D5" s="49"/>
      <c r="E5" s="49"/>
      <c r="F5" s="49"/>
      <c r="G5" s="49"/>
      <c r="H5" s="49"/>
      <c r="I5" s="49"/>
      <c r="J5" s="49"/>
      <c r="K5" s="49"/>
      <c r="L5" s="49"/>
      <c r="M5" s="49"/>
      <c r="N5" s="49"/>
      <c r="O5" s="49"/>
      <c r="P5" s="49"/>
    </row>
    <row r="6" spans="1:16" ht="16.2" thickBot="1">
      <c r="A6" s="52"/>
      <c r="B6" s="53"/>
      <c r="C6" s="49"/>
      <c r="D6" s="49"/>
      <c r="E6" s="49"/>
      <c r="F6" s="49"/>
      <c r="G6" s="49"/>
      <c r="H6" s="49"/>
      <c r="I6" s="49"/>
      <c r="J6" s="49"/>
      <c r="K6" s="49"/>
      <c r="L6" s="49"/>
      <c r="M6" s="49"/>
      <c r="N6" s="49"/>
      <c r="O6" s="49"/>
      <c r="P6" s="49"/>
    </row>
    <row r="7" spans="1:16" ht="18.600000000000001" customHeight="1" thickBot="1">
      <c r="A7" s="370" t="s">
        <v>31</v>
      </c>
      <c r="B7" s="371">
        <v>15</v>
      </c>
      <c r="C7" s="49"/>
      <c r="D7" s="49"/>
      <c r="E7" s="49"/>
      <c r="F7" s="49"/>
      <c r="G7" s="49"/>
      <c r="H7" s="49"/>
      <c r="I7" s="49"/>
      <c r="J7" s="49"/>
      <c r="K7" s="49"/>
      <c r="L7" s="49"/>
      <c r="M7" s="49"/>
      <c r="N7" s="49"/>
      <c r="O7" s="49"/>
      <c r="P7" s="49"/>
    </row>
    <row r="8" spans="1:16" ht="16.2" thickBot="1">
      <c r="A8" s="372" t="s">
        <v>32</v>
      </c>
      <c r="B8" s="373">
        <v>5</v>
      </c>
      <c r="C8" s="49"/>
      <c r="D8" s="49"/>
      <c r="E8" s="49"/>
      <c r="F8" s="49"/>
      <c r="G8" s="49"/>
      <c r="H8" s="49"/>
      <c r="I8" s="49"/>
      <c r="J8" s="49"/>
      <c r="K8" s="49"/>
      <c r="L8" s="49"/>
      <c r="M8" s="49"/>
      <c r="N8" s="49"/>
      <c r="O8" s="49"/>
      <c r="P8" s="49"/>
    </row>
    <row r="9" spans="1:16" ht="16.2" thickBot="1">
      <c r="A9" s="372" t="s">
        <v>1</v>
      </c>
      <c r="B9" s="373">
        <v>5</v>
      </c>
      <c r="C9" s="49"/>
      <c r="D9" s="49"/>
      <c r="E9" s="49"/>
      <c r="F9" s="49"/>
      <c r="G9" s="49"/>
      <c r="H9" s="49"/>
      <c r="I9" s="49"/>
      <c r="J9" s="49"/>
      <c r="K9" s="49"/>
      <c r="L9" s="49"/>
      <c r="M9" s="49"/>
      <c r="N9" s="49"/>
      <c r="O9" s="49"/>
      <c r="P9" s="49"/>
    </row>
    <row r="10" spans="1:16" ht="16.2" thickBot="1">
      <c r="A10" s="372" t="s">
        <v>33</v>
      </c>
      <c r="B10" s="373">
        <v>15</v>
      </c>
      <c r="C10" s="49"/>
      <c r="D10" s="49"/>
      <c r="E10" s="49"/>
      <c r="F10" s="49"/>
      <c r="G10" s="49"/>
      <c r="H10" s="49"/>
      <c r="I10" s="49"/>
      <c r="J10" s="49"/>
      <c r="K10" s="49"/>
      <c r="L10" s="49"/>
      <c r="M10" s="49"/>
      <c r="N10" s="49"/>
      <c r="O10" s="49"/>
      <c r="P10" s="49"/>
    </row>
    <row r="11" spans="1:16" ht="16.2" thickBot="1">
      <c r="A11" s="372" t="s">
        <v>34</v>
      </c>
      <c r="B11" s="373">
        <v>5</v>
      </c>
      <c r="C11" s="49"/>
      <c r="D11" s="49"/>
      <c r="E11" s="49"/>
      <c r="F11" s="49"/>
      <c r="G11" s="49"/>
      <c r="H11" s="49"/>
      <c r="I11" s="49"/>
      <c r="J11" s="49"/>
      <c r="K11" s="49"/>
      <c r="L11" s="49"/>
      <c r="M11" s="49"/>
      <c r="N11" s="49"/>
      <c r="O11" s="49"/>
      <c r="P11" s="49"/>
    </row>
    <row r="12" spans="1:16" ht="16.2" thickBot="1">
      <c r="A12" s="372" t="s">
        <v>2</v>
      </c>
      <c r="B12" s="373">
        <v>2</v>
      </c>
      <c r="C12" s="49"/>
      <c r="D12" s="49"/>
      <c r="E12" s="49"/>
      <c r="F12" s="49"/>
      <c r="G12" s="49"/>
      <c r="H12" s="49"/>
      <c r="I12" s="49"/>
      <c r="J12" s="49"/>
      <c r="K12" s="49"/>
      <c r="L12" s="49"/>
      <c r="M12" s="49"/>
      <c r="N12" s="49"/>
      <c r="O12" s="49"/>
      <c r="P12" s="49"/>
    </row>
    <row r="13" spans="1:16" ht="18" customHeight="1" thickBot="1">
      <c r="A13" s="372" t="s">
        <v>35</v>
      </c>
      <c r="B13" s="373">
        <v>100</v>
      </c>
      <c r="C13" s="49"/>
      <c r="D13" s="49"/>
      <c r="E13" s="49"/>
      <c r="F13" s="49"/>
      <c r="G13" s="49"/>
      <c r="H13" s="49"/>
      <c r="I13" s="49"/>
      <c r="J13" s="49"/>
      <c r="K13" s="49"/>
      <c r="L13" s="49"/>
      <c r="M13" s="49"/>
      <c r="N13" s="49"/>
      <c r="O13" s="49"/>
      <c r="P13" s="49"/>
    </row>
    <row r="14" spans="1:16" ht="15.6">
      <c r="A14" s="52"/>
      <c r="B14" s="53"/>
      <c r="C14" s="49"/>
      <c r="D14" s="49"/>
      <c r="E14" s="49"/>
      <c r="F14" s="49"/>
      <c r="G14" s="49"/>
      <c r="H14" s="49"/>
      <c r="I14" s="49"/>
      <c r="J14" s="49"/>
      <c r="K14" s="49"/>
      <c r="L14" s="49"/>
      <c r="M14" s="49"/>
      <c r="N14" s="49"/>
      <c r="O14" s="49"/>
      <c r="P14" s="49"/>
    </row>
    <row r="15" spans="1:16" ht="15.6">
      <c r="A15" s="54" t="s">
        <v>36</v>
      </c>
      <c r="B15" s="53"/>
      <c r="C15" s="49"/>
      <c r="D15" s="49"/>
      <c r="E15" s="49"/>
      <c r="F15" s="49"/>
      <c r="G15" s="49"/>
      <c r="H15" s="49"/>
      <c r="I15" s="49"/>
      <c r="J15" s="49"/>
      <c r="K15" s="49"/>
      <c r="L15" s="49"/>
      <c r="M15" s="49"/>
      <c r="N15" s="49"/>
      <c r="O15" s="49"/>
      <c r="P15" s="49"/>
    </row>
    <row r="16" spans="1:16" ht="16.05" customHeight="1">
      <c r="A16" s="53"/>
      <c r="B16" s="53"/>
      <c r="C16" s="49"/>
      <c r="D16" s="49"/>
      <c r="E16" s="49"/>
      <c r="F16" s="49"/>
      <c r="G16" s="49"/>
      <c r="H16" s="49"/>
      <c r="I16" s="49"/>
      <c r="J16" s="49"/>
      <c r="K16" s="49"/>
      <c r="L16" s="49"/>
      <c r="M16" s="49"/>
      <c r="N16" s="49"/>
      <c r="O16" s="49"/>
      <c r="P16" s="49"/>
    </row>
    <row r="17" spans="1:16" ht="15.6">
      <c r="A17" s="52"/>
      <c r="B17" s="53"/>
      <c r="C17" s="49"/>
      <c r="D17" s="49"/>
      <c r="E17" s="49"/>
      <c r="F17" s="49"/>
      <c r="G17" s="49"/>
      <c r="H17" s="49"/>
      <c r="I17" s="49"/>
      <c r="J17" s="49"/>
      <c r="K17" s="49"/>
      <c r="L17" s="49"/>
      <c r="M17" s="49"/>
      <c r="N17" s="49"/>
      <c r="O17" s="49"/>
      <c r="P17" s="49"/>
    </row>
    <row r="20" spans="1:16" ht="15.6">
      <c r="A20" s="52" t="s">
        <v>794</v>
      </c>
      <c r="B20" s="53"/>
      <c r="C20" s="53"/>
      <c r="D20" s="53"/>
      <c r="E20" s="49"/>
      <c r="F20" s="49"/>
      <c r="G20" s="49"/>
      <c r="H20" s="49"/>
      <c r="I20" s="49"/>
      <c r="J20" s="49"/>
      <c r="K20" s="49"/>
      <c r="L20" s="49"/>
      <c r="M20" s="49"/>
      <c r="N20" s="49"/>
      <c r="O20" s="49"/>
      <c r="P20" s="49"/>
    </row>
    <row r="21" spans="1:16" ht="15.6">
      <c r="A21" s="54"/>
      <c r="B21" s="369" t="s">
        <v>38</v>
      </c>
      <c r="C21" s="53"/>
      <c r="D21" s="53"/>
      <c r="E21" s="49"/>
      <c r="F21" s="49"/>
      <c r="G21" s="49"/>
      <c r="H21" s="49"/>
      <c r="I21" s="49"/>
      <c r="J21" s="49"/>
      <c r="K21" s="49"/>
      <c r="L21" s="49"/>
      <c r="M21" s="49"/>
      <c r="N21" s="49"/>
      <c r="O21" s="49"/>
      <c r="P21" s="49"/>
    </row>
    <row r="22" spans="1:16" ht="16.2" thickBot="1">
      <c r="A22" s="54"/>
      <c r="B22" s="369"/>
      <c r="C22" s="53"/>
      <c r="D22" s="53"/>
      <c r="E22" s="49"/>
      <c r="F22" s="49"/>
      <c r="G22" s="49"/>
      <c r="H22" s="49"/>
      <c r="I22" s="49"/>
      <c r="J22" s="49"/>
      <c r="K22" s="49"/>
      <c r="L22" s="49"/>
      <c r="M22" s="49"/>
      <c r="N22" s="49"/>
      <c r="O22" s="49"/>
      <c r="P22" s="49"/>
    </row>
    <row r="23" spans="1:16" ht="16.2" thickBot="1">
      <c r="A23" s="370"/>
      <c r="B23" s="374" t="s">
        <v>39</v>
      </c>
      <c r="C23" s="374" t="s">
        <v>40</v>
      </c>
      <c r="D23" s="374" t="s">
        <v>41</v>
      </c>
      <c r="E23" s="49"/>
      <c r="F23" s="49"/>
      <c r="G23" s="49"/>
      <c r="H23" s="49"/>
      <c r="I23" s="49"/>
      <c r="J23" s="49"/>
      <c r="K23" s="49"/>
      <c r="L23" s="49"/>
      <c r="M23" s="49"/>
      <c r="N23" s="49"/>
      <c r="O23" s="49"/>
      <c r="P23" s="49"/>
    </row>
    <row r="24" spans="1:16" ht="31.8" thickBot="1">
      <c r="A24" s="372" t="s">
        <v>42</v>
      </c>
      <c r="B24" s="375">
        <v>1</v>
      </c>
      <c r="C24" s="375">
        <v>-2</v>
      </c>
      <c r="D24" s="375">
        <v>-1</v>
      </c>
      <c r="E24" s="49"/>
      <c r="F24" s="49"/>
      <c r="G24" s="49"/>
      <c r="H24" s="49"/>
      <c r="I24" s="49"/>
      <c r="J24" s="49"/>
      <c r="K24" s="49"/>
      <c r="L24" s="49"/>
      <c r="M24" s="49"/>
      <c r="N24" s="49"/>
      <c r="O24" s="49"/>
      <c r="P24" s="49"/>
    </row>
    <row r="25" spans="1:16" ht="47.4" thickBot="1">
      <c r="A25" s="372" t="s">
        <v>43</v>
      </c>
      <c r="B25" s="375">
        <v>-2</v>
      </c>
      <c r="C25" s="375">
        <v>1</v>
      </c>
      <c r="D25" s="375">
        <v>-1</v>
      </c>
      <c r="E25" s="49"/>
      <c r="F25" s="49"/>
      <c r="G25" s="49"/>
      <c r="H25" s="49"/>
      <c r="I25" s="49"/>
      <c r="J25" s="49"/>
      <c r="K25" s="49"/>
      <c r="L25" s="49"/>
      <c r="M25" s="49"/>
      <c r="N25" s="49"/>
      <c r="O25" s="49"/>
      <c r="P25" s="49"/>
    </row>
    <row r="26" spans="1:16" ht="15.6">
      <c r="A26" s="54"/>
      <c r="B26" s="53"/>
      <c r="C26" s="53"/>
      <c r="D26" s="53"/>
      <c r="E26" s="49"/>
      <c r="F26" s="49"/>
      <c r="G26" s="49"/>
      <c r="H26" s="49"/>
      <c r="I26" s="49"/>
      <c r="J26" s="49"/>
      <c r="K26" s="49"/>
      <c r="L26" s="49"/>
      <c r="M26" s="49"/>
      <c r="N26" s="49"/>
      <c r="O26" s="49"/>
      <c r="P26" s="49"/>
    </row>
    <row r="27" spans="1:16" ht="15.6">
      <c r="A27" s="52" t="s">
        <v>795</v>
      </c>
      <c r="B27" s="376"/>
      <c r="C27" s="53"/>
      <c r="D27" s="53"/>
      <c r="E27" s="49"/>
      <c r="F27" s="49"/>
      <c r="G27" s="49"/>
      <c r="H27" s="49"/>
      <c r="I27" s="49"/>
      <c r="J27" s="49"/>
      <c r="K27" s="49"/>
      <c r="L27" s="49"/>
      <c r="M27" s="49"/>
      <c r="N27" s="49"/>
      <c r="O27" s="49"/>
      <c r="P27" s="49"/>
    </row>
    <row r="28" spans="1:16" ht="15.6">
      <c r="A28" s="377" t="s">
        <v>24</v>
      </c>
    </row>
  </sheetData>
  <pageMargins left="0.7" right="0.7" top="0.75" bottom="0.75" header="0.3" footer="0.3"/>
  <drawing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74B20-0A09-45F2-BAA5-4D418D08CDA8}">
  <sheetPr codeName="Sheet5"/>
  <dimension ref="A1:J19"/>
  <sheetViews>
    <sheetView workbookViewId="0">
      <selection activeCell="H11" sqref="H11"/>
    </sheetView>
  </sheetViews>
  <sheetFormatPr defaultColWidth="8.77734375" defaultRowHeight="14.4"/>
  <cols>
    <col min="1" max="1" width="39.21875" style="5" customWidth="1"/>
    <col min="2" max="2" width="9.77734375" style="5" customWidth="1"/>
    <col min="3" max="16384" width="8.77734375" style="5"/>
  </cols>
  <sheetData>
    <row r="1" spans="1:10" ht="17.399999999999999">
      <c r="A1" s="3" t="s">
        <v>44</v>
      </c>
      <c r="B1" s="4"/>
      <c r="C1" s="4"/>
      <c r="D1" s="4"/>
      <c r="E1" s="4"/>
      <c r="F1" s="4"/>
      <c r="G1" s="4"/>
      <c r="H1" s="4"/>
      <c r="I1" s="4"/>
      <c r="J1" s="4"/>
    </row>
    <row r="2" spans="1:10" s="28" customFormat="1" ht="15.6">
      <c r="A2" s="6" t="s">
        <v>45</v>
      </c>
      <c r="B2" s="27"/>
      <c r="C2" s="27"/>
      <c r="D2" s="27"/>
      <c r="E2" s="27"/>
      <c r="F2" s="27"/>
      <c r="G2" s="27"/>
      <c r="H2" s="27"/>
      <c r="I2" s="27"/>
      <c r="J2" s="27"/>
    </row>
    <row r="3" spans="1:10" s="28" customFormat="1" ht="15.6">
      <c r="A3" s="6" t="s">
        <v>46</v>
      </c>
      <c r="B3" s="27"/>
      <c r="C3" s="27"/>
      <c r="D3" s="27"/>
      <c r="E3" s="27"/>
      <c r="F3" s="27"/>
      <c r="G3" s="27"/>
      <c r="H3" s="27"/>
      <c r="I3" s="27"/>
      <c r="J3" s="27"/>
    </row>
    <row r="4" spans="1:10" ht="15.6">
      <c r="A4" s="6"/>
      <c r="B4" s="4"/>
      <c r="C4" s="4"/>
      <c r="D4" s="4"/>
      <c r="E4" s="4"/>
      <c r="F4" s="4"/>
      <c r="G4" s="4"/>
      <c r="H4" s="4"/>
      <c r="I4" s="4"/>
      <c r="J4" s="4"/>
    </row>
    <row r="5" spans="1:10" ht="15.6">
      <c r="A5" s="15" t="s">
        <v>47</v>
      </c>
      <c r="B5" s="16"/>
      <c r="C5" s="4"/>
      <c r="D5" s="4"/>
      <c r="E5" s="4"/>
      <c r="F5" s="4"/>
      <c r="G5" s="4"/>
      <c r="H5" s="4"/>
      <c r="I5" s="4"/>
      <c r="J5" s="4"/>
    </row>
    <row r="6" spans="1:10" ht="16.2" thickBot="1">
      <c r="A6" s="15"/>
      <c r="B6" s="16"/>
      <c r="C6" s="4"/>
      <c r="D6" s="4"/>
      <c r="E6" s="4"/>
      <c r="F6" s="4"/>
      <c r="G6" s="4"/>
      <c r="H6" s="4"/>
      <c r="I6" s="4"/>
      <c r="J6" s="4"/>
    </row>
    <row r="7" spans="1:10" ht="22.05" customHeight="1" thickBot="1">
      <c r="A7" s="11" t="s">
        <v>48</v>
      </c>
      <c r="B7" s="31" t="s">
        <v>49</v>
      </c>
      <c r="C7" s="4"/>
      <c r="D7" s="4"/>
      <c r="E7" s="4"/>
      <c r="F7" s="4"/>
      <c r="G7" s="4"/>
      <c r="H7" s="4"/>
      <c r="I7" s="4"/>
      <c r="J7" s="4"/>
    </row>
    <row r="8" spans="1:10" ht="22.05" customHeight="1" thickBot="1">
      <c r="A8" s="32" t="s">
        <v>50</v>
      </c>
      <c r="B8" s="14" t="s">
        <v>51</v>
      </c>
      <c r="C8" s="4"/>
      <c r="D8" s="4"/>
      <c r="E8" s="4"/>
      <c r="F8" s="4"/>
      <c r="G8" s="4"/>
      <c r="H8" s="4"/>
      <c r="I8" s="4"/>
      <c r="J8" s="4"/>
    </row>
    <row r="9" spans="1:10" ht="22.05" customHeight="1" thickBot="1">
      <c r="A9" s="32" t="s">
        <v>52</v>
      </c>
      <c r="B9" s="14" t="s">
        <v>51</v>
      </c>
      <c r="C9" s="4"/>
      <c r="D9" s="4"/>
      <c r="E9" s="4"/>
      <c r="F9" s="4"/>
      <c r="G9" s="4"/>
      <c r="H9" s="4"/>
      <c r="I9" s="4"/>
      <c r="J9" s="4"/>
    </row>
    <row r="10" spans="1:10" ht="11.55" customHeight="1" thickBot="1">
      <c r="A10" s="29"/>
      <c r="B10" s="14"/>
      <c r="C10" s="4"/>
      <c r="D10" s="4"/>
      <c r="E10" s="4"/>
      <c r="F10" s="4"/>
      <c r="G10" s="4"/>
      <c r="H10" s="4"/>
      <c r="I10" s="4"/>
      <c r="J10" s="4"/>
    </row>
    <row r="11" spans="1:10" ht="22.05" customHeight="1" thickBot="1">
      <c r="A11" s="32" t="s">
        <v>53</v>
      </c>
      <c r="B11" s="14">
        <v>100</v>
      </c>
      <c r="C11" s="4"/>
      <c r="D11" s="4"/>
      <c r="E11" s="4"/>
      <c r="F11" s="4"/>
      <c r="G11" s="4"/>
      <c r="H11" s="4"/>
      <c r="I11" s="4"/>
      <c r="J11" s="4"/>
    </row>
    <row r="12" spans="1:10" ht="22.05" customHeight="1" thickBot="1">
      <c r="A12" s="32" t="s">
        <v>54</v>
      </c>
      <c r="B12" s="14">
        <v>90</v>
      </c>
      <c r="C12" s="4"/>
      <c r="D12" s="4"/>
      <c r="E12" s="4"/>
      <c r="F12" s="4"/>
      <c r="G12" s="4"/>
      <c r="H12" s="4"/>
      <c r="I12" s="4"/>
      <c r="J12" s="4"/>
    </row>
    <row r="13" spans="1:10" ht="22.05" customHeight="1" thickBot="1">
      <c r="A13" s="32" t="s">
        <v>55</v>
      </c>
      <c r="B13" s="14">
        <v>120</v>
      </c>
      <c r="C13" s="4"/>
      <c r="D13" s="4"/>
      <c r="E13" s="4"/>
      <c r="F13" s="4"/>
      <c r="G13" s="4"/>
      <c r="H13" s="4"/>
      <c r="I13" s="4"/>
      <c r="J13" s="4"/>
    </row>
    <row r="14" spans="1:10" ht="22.05" customHeight="1" thickBot="1">
      <c r="A14" s="32" t="s">
        <v>56</v>
      </c>
      <c r="B14" s="14">
        <v>122</v>
      </c>
      <c r="C14" s="4"/>
      <c r="D14" s="4"/>
      <c r="E14" s="4"/>
      <c r="F14" s="4"/>
      <c r="G14" s="4"/>
      <c r="H14" s="4"/>
      <c r="I14" s="4"/>
      <c r="J14" s="4"/>
    </row>
    <row r="15" spans="1:10" ht="22.05" customHeight="1" thickBot="1">
      <c r="A15" s="32" t="s">
        <v>57</v>
      </c>
      <c r="B15" s="14">
        <v>5</v>
      </c>
      <c r="C15" s="4"/>
      <c r="D15" s="4"/>
      <c r="E15" s="4"/>
      <c r="F15" s="4"/>
      <c r="G15" s="4"/>
      <c r="H15" s="4"/>
      <c r="I15" s="4"/>
      <c r="J15" s="4"/>
    </row>
    <row r="16" spans="1:10" ht="15.6">
      <c r="A16" s="15"/>
      <c r="B16" s="16"/>
      <c r="C16" s="4"/>
      <c r="D16" s="4"/>
      <c r="E16" s="4"/>
      <c r="F16" s="4"/>
      <c r="G16" s="4"/>
      <c r="H16" s="4"/>
      <c r="I16" s="4"/>
      <c r="J16" s="4"/>
    </row>
    <row r="17" spans="1:10" ht="15.6">
      <c r="A17" s="15" t="s">
        <v>58</v>
      </c>
      <c r="B17" s="33"/>
      <c r="C17" s="4"/>
      <c r="D17" s="4"/>
      <c r="E17" s="4"/>
      <c r="F17" s="4"/>
      <c r="G17" s="4"/>
      <c r="H17" s="4"/>
      <c r="I17" s="4"/>
      <c r="J17" s="4"/>
    </row>
    <row r="18" spans="1:10" ht="15.6">
      <c r="A18" s="15" t="s">
        <v>59</v>
      </c>
      <c r="B18" s="33"/>
      <c r="C18" s="4"/>
      <c r="D18" s="4"/>
      <c r="E18" s="4"/>
      <c r="F18" s="4"/>
      <c r="G18" s="4"/>
      <c r="H18" s="4"/>
      <c r="I18" s="4"/>
      <c r="J18" s="4"/>
    </row>
    <row r="19" spans="1:10" ht="15.6">
      <c r="A19" s="24" t="s">
        <v>24</v>
      </c>
    </row>
  </sheetData>
  <pageMargins left="0.7" right="0.7" top="0.75" bottom="0.75" header="0.3" footer="0.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EF194-A8CF-4DD7-8D24-6DEB5628A692}">
  <sheetPr codeName="Sheet6"/>
  <dimension ref="A1:I19"/>
  <sheetViews>
    <sheetView workbookViewId="0">
      <selection activeCell="H11" sqref="H11"/>
    </sheetView>
  </sheetViews>
  <sheetFormatPr defaultColWidth="8.77734375" defaultRowHeight="14.4"/>
  <cols>
    <col min="1" max="1" width="15.21875" style="5" customWidth="1"/>
    <col min="2" max="2" width="7.21875" style="5" customWidth="1"/>
    <col min="3" max="16384" width="8.77734375" style="5"/>
  </cols>
  <sheetData>
    <row r="1" spans="1:9" ht="17.399999999999999">
      <c r="A1" s="3" t="s">
        <v>60</v>
      </c>
      <c r="B1" s="4"/>
      <c r="C1" s="4"/>
      <c r="D1" s="4"/>
      <c r="E1" s="4"/>
      <c r="F1" s="4"/>
      <c r="G1" s="4"/>
      <c r="H1" s="4"/>
      <c r="I1" s="4"/>
    </row>
    <row r="2" spans="1:9" ht="15.6">
      <c r="A2" s="6" t="s">
        <v>7</v>
      </c>
      <c r="B2" s="4"/>
      <c r="C2" s="4"/>
      <c r="D2" s="4"/>
      <c r="E2" s="4"/>
      <c r="F2" s="4"/>
      <c r="G2" s="4"/>
      <c r="H2" s="4"/>
      <c r="I2" s="4"/>
    </row>
    <row r="3" spans="1:9" ht="15.6">
      <c r="A3" s="6" t="s">
        <v>61</v>
      </c>
      <c r="B3" s="4"/>
      <c r="C3" s="4"/>
      <c r="D3" s="4"/>
      <c r="E3" s="4"/>
      <c r="F3" s="4"/>
      <c r="G3" s="4"/>
      <c r="H3" s="4"/>
      <c r="I3" s="4"/>
    </row>
    <row r="4" spans="1:9">
      <c r="A4" s="4"/>
      <c r="B4" s="4"/>
      <c r="C4" s="4"/>
      <c r="D4" s="4"/>
      <c r="E4" s="4"/>
      <c r="F4" s="4"/>
      <c r="G4" s="4"/>
      <c r="H4" s="4"/>
      <c r="I4" s="4"/>
    </row>
    <row r="5" spans="1:9" ht="15.6">
      <c r="A5" s="15" t="s">
        <v>62</v>
      </c>
      <c r="B5" s="16"/>
      <c r="C5" s="16"/>
      <c r="D5" s="16"/>
      <c r="E5" s="16"/>
      <c r="F5" s="16"/>
      <c r="G5" s="16"/>
      <c r="H5" s="4"/>
      <c r="I5" s="4"/>
    </row>
    <row r="6" spans="1:9" ht="16.2" thickBot="1">
      <c r="A6" s="9"/>
      <c r="B6" s="16"/>
      <c r="C6" s="16"/>
      <c r="D6" s="16"/>
      <c r="E6" s="16"/>
      <c r="F6" s="16"/>
      <c r="G6" s="16"/>
      <c r="H6" s="4"/>
      <c r="I6" s="4"/>
    </row>
    <row r="7" spans="1:9" ht="16.2" thickBot="1">
      <c r="A7" s="1183" t="s">
        <v>63</v>
      </c>
      <c r="B7" s="1184"/>
      <c r="C7" s="16"/>
      <c r="D7" s="16"/>
      <c r="E7" s="16"/>
      <c r="F7" s="16"/>
      <c r="G7" s="16"/>
      <c r="H7" s="4"/>
      <c r="I7" s="4"/>
    </row>
    <row r="8" spans="1:9" ht="42.6" customHeight="1" thickBot="1">
      <c r="A8" s="29" t="s">
        <v>64</v>
      </c>
      <c r="B8" s="30">
        <v>245</v>
      </c>
      <c r="C8" s="16"/>
      <c r="D8" s="16"/>
      <c r="E8" s="16"/>
      <c r="F8" s="16"/>
      <c r="G8" s="16"/>
      <c r="H8" s="4"/>
      <c r="I8" s="4"/>
    </row>
    <row r="9" spans="1:9" ht="30" customHeight="1" thickBot="1">
      <c r="A9" s="1183" t="s">
        <v>65</v>
      </c>
      <c r="B9" s="1184"/>
      <c r="C9" s="16"/>
      <c r="D9" s="16"/>
      <c r="E9" s="16"/>
      <c r="F9" s="16"/>
      <c r="G9" s="16"/>
      <c r="H9" s="4"/>
      <c r="I9" s="4"/>
    </row>
    <row r="10" spans="1:9" ht="38.549999999999997" customHeight="1" thickBot="1">
      <c r="A10" s="29" t="s">
        <v>66</v>
      </c>
      <c r="B10" s="34">
        <v>4100</v>
      </c>
      <c r="C10" s="16"/>
      <c r="D10" s="16"/>
      <c r="E10" s="16"/>
      <c r="F10" s="16"/>
      <c r="G10" s="16"/>
      <c r="H10" s="4"/>
      <c r="I10" s="4"/>
    </row>
    <row r="11" spans="1:9" ht="35.1" customHeight="1" thickBot="1">
      <c r="A11" s="35" t="s">
        <v>67</v>
      </c>
      <c r="B11" s="34">
        <v>3280</v>
      </c>
      <c r="C11" s="16"/>
      <c r="D11" s="16"/>
      <c r="E11" s="16"/>
      <c r="F11" s="16"/>
      <c r="G11" s="16"/>
      <c r="H11" s="4"/>
      <c r="I11" s="4"/>
    </row>
    <row r="12" spans="1:9" ht="15.6">
      <c r="A12" s="15"/>
      <c r="B12" s="16"/>
      <c r="C12" s="16"/>
      <c r="D12" s="16"/>
      <c r="E12" s="16"/>
      <c r="F12" s="16"/>
      <c r="G12" s="16"/>
      <c r="H12" s="4"/>
      <c r="I12" s="4"/>
    </row>
    <row r="13" spans="1:9" ht="15.6">
      <c r="A13" s="15" t="s">
        <v>68</v>
      </c>
      <c r="B13" s="16"/>
      <c r="C13" s="16"/>
      <c r="D13" s="16"/>
      <c r="E13" s="16"/>
      <c r="F13" s="16"/>
      <c r="G13" s="16"/>
      <c r="H13" s="4"/>
      <c r="I13" s="4"/>
    </row>
    <row r="14" spans="1:9" ht="15.6">
      <c r="A14" s="36" t="s">
        <v>69</v>
      </c>
      <c r="B14" s="16"/>
      <c r="C14" s="16"/>
      <c r="D14" s="16"/>
      <c r="E14" s="16"/>
      <c r="F14" s="16"/>
      <c r="G14" s="16"/>
      <c r="H14" s="4"/>
      <c r="I14" s="4"/>
    </row>
    <row r="15" spans="1:9" ht="15.6">
      <c r="A15" s="36" t="s">
        <v>70</v>
      </c>
      <c r="B15" s="16"/>
      <c r="C15" s="16"/>
      <c r="D15" s="16"/>
      <c r="E15" s="16"/>
      <c r="F15" s="16"/>
      <c r="G15" s="16"/>
      <c r="H15" s="4"/>
      <c r="I15" s="4"/>
    </row>
    <row r="16" spans="1:9" ht="15.6">
      <c r="A16" s="15"/>
      <c r="B16" s="16"/>
      <c r="C16" s="16"/>
      <c r="D16" s="16"/>
      <c r="E16" s="16"/>
      <c r="F16" s="16"/>
      <c r="G16" s="16"/>
      <c r="H16" s="4"/>
      <c r="I16" s="4"/>
    </row>
    <row r="17" spans="1:9" ht="15.6">
      <c r="A17" s="15" t="s">
        <v>71</v>
      </c>
      <c r="B17" s="16"/>
      <c r="C17" s="16"/>
      <c r="D17" s="16"/>
      <c r="E17" s="16"/>
      <c r="F17" s="16"/>
      <c r="G17" s="16"/>
      <c r="H17" s="4"/>
      <c r="I17" s="4"/>
    </row>
    <row r="18" spans="1:9" ht="15.6">
      <c r="A18" s="15" t="s">
        <v>37</v>
      </c>
      <c r="B18" s="33"/>
      <c r="C18" s="4"/>
      <c r="D18" s="4"/>
      <c r="E18" s="4"/>
      <c r="F18" s="4"/>
      <c r="G18" s="4"/>
      <c r="H18" s="4"/>
      <c r="I18" s="4"/>
    </row>
    <row r="19" spans="1:9" ht="15.6">
      <c r="A19" s="24" t="s">
        <v>24</v>
      </c>
    </row>
  </sheetData>
  <mergeCells count="2">
    <mergeCell ref="A7:B7"/>
    <mergeCell ref="A9:B9"/>
  </mergeCells>
  <pageMargins left="0.7" right="0.7" top="0.75" bottom="0.75" header="0.3" footer="0.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3817-3512-476A-AA09-3E2FFAB66CF9}">
  <sheetPr codeName="Sheet7">
    <tabColor rgb="FFFF0000"/>
  </sheetPr>
  <dimension ref="A1:M46"/>
  <sheetViews>
    <sheetView workbookViewId="0"/>
  </sheetViews>
  <sheetFormatPr defaultColWidth="8.77734375" defaultRowHeight="14.4"/>
  <cols>
    <col min="1" max="1" width="26" style="50" customWidth="1"/>
    <col min="2" max="4" width="8.77734375" style="50"/>
    <col min="5" max="5" width="13.77734375" style="50" customWidth="1"/>
    <col min="6" max="16384" width="8.77734375" style="50"/>
  </cols>
  <sheetData>
    <row r="1" spans="1:13" ht="17.399999999999999">
      <c r="A1" s="48" t="s">
        <v>72</v>
      </c>
      <c r="B1" s="49" t="s">
        <v>0</v>
      </c>
      <c r="C1" s="49"/>
      <c r="D1" s="49"/>
      <c r="E1" s="49"/>
      <c r="F1" s="49"/>
      <c r="G1" s="49"/>
      <c r="H1" s="49"/>
      <c r="I1" s="49"/>
      <c r="J1" s="49"/>
      <c r="K1" s="49"/>
      <c r="L1" s="49"/>
      <c r="M1" s="49"/>
    </row>
    <row r="2" spans="1:13" ht="15.6">
      <c r="A2" s="51" t="s">
        <v>73</v>
      </c>
      <c r="B2" s="49"/>
      <c r="C2" s="49"/>
      <c r="D2" s="49"/>
      <c r="E2" s="49"/>
      <c r="F2" s="49"/>
      <c r="G2" s="49"/>
      <c r="H2" s="49"/>
      <c r="I2" s="49"/>
      <c r="J2" s="49"/>
      <c r="K2" s="49"/>
      <c r="L2" s="49"/>
      <c r="M2" s="49"/>
    </row>
    <row r="3" spans="1:13" ht="15.6">
      <c r="A3" s="51" t="s">
        <v>74</v>
      </c>
      <c r="B3" s="49"/>
      <c r="C3" s="49"/>
      <c r="D3" s="49"/>
      <c r="E3" s="49"/>
      <c r="F3" s="49"/>
      <c r="G3" s="49"/>
      <c r="H3" s="49"/>
      <c r="I3" s="49"/>
      <c r="J3" s="49"/>
      <c r="K3" s="49"/>
      <c r="L3" s="49"/>
      <c r="M3" s="49"/>
    </row>
    <row r="4" spans="1:13" ht="15.6">
      <c r="A4" s="51"/>
      <c r="B4" s="49"/>
      <c r="C4" s="49"/>
      <c r="D4" s="49"/>
      <c r="E4" s="49"/>
      <c r="F4" s="49"/>
      <c r="G4" s="49"/>
      <c r="H4" s="49"/>
      <c r="I4" s="49"/>
      <c r="J4" s="49"/>
      <c r="K4" s="49"/>
      <c r="L4" s="49"/>
      <c r="M4" s="49"/>
    </row>
    <row r="5" spans="1:13" ht="15.6">
      <c r="A5" s="52" t="s">
        <v>75</v>
      </c>
      <c r="B5" s="53"/>
      <c r="C5" s="53"/>
      <c r="D5" s="53"/>
      <c r="E5" s="53"/>
      <c r="F5" s="49"/>
      <c r="G5" s="49"/>
      <c r="H5" s="49"/>
      <c r="I5" s="49"/>
      <c r="J5" s="49"/>
      <c r="K5" s="49"/>
      <c r="L5" s="49"/>
      <c r="M5" s="49"/>
    </row>
    <row r="6" spans="1:13" ht="15.6">
      <c r="A6" s="52" t="s">
        <v>76</v>
      </c>
      <c r="B6" s="53"/>
      <c r="C6" s="53"/>
      <c r="D6" s="53"/>
      <c r="E6" s="53"/>
      <c r="F6" s="49"/>
      <c r="G6" s="49"/>
      <c r="H6" s="49"/>
      <c r="I6" s="49"/>
      <c r="J6" s="49"/>
      <c r="K6" s="49"/>
      <c r="L6" s="49"/>
      <c r="M6" s="49"/>
    </row>
    <row r="7" spans="1:13" ht="15.6">
      <c r="A7" s="52"/>
      <c r="B7" s="53"/>
      <c r="C7" s="53"/>
      <c r="D7" s="53"/>
      <c r="E7" s="53"/>
      <c r="F7" s="49"/>
      <c r="G7" s="49"/>
      <c r="H7" s="49"/>
      <c r="I7" s="49"/>
      <c r="J7" s="49"/>
      <c r="K7" s="49"/>
      <c r="L7" s="49"/>
      <c r="M7" s="49"/>
    </row>
    <row r="8" spans="1:13" ht="15.6">
      <c r="A8" s="52" t="s">
        <v>123</v>
      </c>
      <c r="B8" s="53"/>
      <c r="C8" s="53"/>
      <c r="D8" s="53"/>
      <c r="E8" s="53"/>
      <c r="F8" s="49"/>
      <c r="G8" s="49"/>
      <c r="H8" s="49"/>
      <c r="I8" s="49"/>
      <c r="J8" s="49"/>
      <c r="K8" s="49"/>
      <c r="L8" s="49"/>
      <c r="M8" s="49"/>
    </row>
    <row r="9" spans="1:13" ht="15.6">
      <c r="A9" s="54"/>
      <c r="B9" s="53"/>
      <c r="C9" s="53"/>
      <c r="D9" s="53"/>
      <c r="E9" s="53"/>
      <c r="F9" s="49"/>
      <c r="G9" s="49"/>
      <c r="H9" s="49"/>
      <c r="I9" s="49"/>
      <c r="J9" s="49"/>
      <c r="K9" s="49"/>
      <c r="L9" s="49"/>
      <c r="M9" s="49"/>
    </row>
    <row r="10" spans="1:13" ht="15.6">
      <c r="A10" s="52" t="s">
        <v>77</v>
      </c>
      <c r="B10" s="53"/>
      <c r="C10" s="53"/>
      <c r="D10" s="53"/>
      <c r="E10" s="53"/>
      <c r="F10" s="49"/>
      <c r="G10" s="49"/>
      <c r="H10" s="49"/>
      <c r="I10" s="49"/>
      <c r="J10" s="49"/>
      <c r="K10" s="49"/>
      <c r="L10" s="49"/>
      <c r="M10" s="49"/>
    </row>
    <row r="11" spans="1:13" ht="16.2" thickBot="1">
      <c r="A11" s="52"/>
      <c r="B11" s="53"/>
      <c r="C11" s="53"/>
      <c r="D11" s="53"/>
      <c r="E11" s="53"/>
      <c r="F11" s="49"/>
      <c r="G11" s="49"/>
      <c r="H11" s="49"/>
      <c r="I11" s="49"/>
      <c r="J11" s="49"/>
      <c r="K11" s="49"/>
      <c r="L11" s="49"/>
      <c r="M11" s="49"/>
    </row>
    <row r="12" spans="1:13" ht="16.2" thickBot="1">
      <c r="A12" s="55" t="s">
        <v>78</v>
      </c>
      <c r="B12" s="56" t="s">
        <v>3</v>
      </c>
      <c r="C12" s="56" t="s">
        <v>79</v>
      </c>
      <c r="D12" s="56" t="s">
        <v>80</v>
      </c>
      <c r="E12" s="56" t="s">
        <v>81</v>
      </c>
      <c r="F12" s="49"/>
      <c r="G12" s="49"/>
      <c r="H12" s="49"/>
      <c r="I12" s="49"/>
      <c r="J12" s="49"/>
      <c r="K12" s="49"/>
      <c r="L12" s="49"/>
      <c r="M12" s="49"/>
    </row>
    <row r="13" spans="1:13" ht="16.2" thickBot="1">
      <c r="A13" s="57" t="s">
        <v>82</v>
      </c>
      <c r="B13" s="58">
        <v>360</v>
      </c>
      <c r="C13" s="58">
        <v>342</v>
      </c>
      <c r="D13" s="58">
        <v>324</v>
      </c>
      <c r="E13" s="58">
        <v>1313</v>
      </c>
      <c r="F13" s="49"/>
      <c r="G13" s="49"/>
      <c r="H13" s="49"/>
      <c r="I13" s="49"/>
      <c r="J13" s="49"/>
      <c r="K13" s="49"/>
      <c r="L13" s="49"/>
      <c r="M13" s="49"/>
    </row>
    <row r="14" spans="1:13" ht="16.2" thickBot="1">
      <c r="A14" s="57" t="s">
        <v>83</v>
      </c>
      <c r="B14" s="58">
        <v>216</v>
      </c>
      <c r="C14" s="58">
        <v>222</v>
      </c>
      <c r="D14" s="58">
        <v>227</v>
      </c>
      <c r="E14" s="58">
        <v>1106</v>
      </c>
      <c r="F14" s="49"/>
      <c r="G14" s="49"/>
      <c r="H14" s="49"/>
      <c r="I14" s="49"/>
      <c r="J14" s="49"/>
      <c r="K14" s="49"/>
      <c r="L14" s="49"/>
      <c r="M14" s="49"/>
    </row>
    <row r="15" spans="1:13" ht="15.6">
      <c r="A15" s="59"/>
      <c r="B15" s="53"/>
      <c r="C15" s="53"/>
      <c r="D15" s="53"/>
      <c r="E15" s="53"/>
      <c r="F15" s="49"/>
      <c r="G15" s="49"/>
      <c r="H15" s="49"/>
      <c r="I15" s="49"/>
      <c r="J15" s="49"/>
      <c r="K15" s="49"/>
      <c r="L15" s="49"/>
      <c r="M15" s="49"/>
    </row>
    <row r="16" spans="1:13" ht="15.6">
      <c r="A16" s="52" t="s">
        <v>68</v>
      </c>
      <c r="B16" s="53"/>
      <c r="C16" s="53"/>
      <c r="D16" s="53"/>
      <c r="E16" s="53"/>
      <c r="F16" s="49"/>
      <c r="G16" s="49"/>
      <c r="H16" s="49"/>
      <c r="I16" s="49"/>
      <c r="J16" s="49"/>
      <c r="K16" s="49"/>
      <c r="L16" s="49"/>
      <c r="M16" s="49"/>
    </row>
    <row r="17" spans="1:13" ht="15.6">
      <c r="A17" s="60" t="s">
        <v>124</v>
      </c>
      <c r="B17" s="53"/>
      <c r="C17" s="53"/>
      <c r="D17" s="53"/>
      <c r="E17" s="53"/>
      <c r="F17" s="49"/>
      <c r="G17" s="49"/>
      <c r="H17" s="49"/>
      <c r="I17" s="49"/>
      <c r="J17" s="49"/>
      <c r="K17" s="49"/>
      <c r="L17" s="49"/>
      <c r="M17" s="49"/>
    </row>
    <row r="18" spans="1:13" ht="15.6">
      <c r="A18" s="60" t="s">
        <v>125</v>
      </c>
      <c r="B18" s="53"/>
      <c r="C18" s="53"/>
      <c r="D18" s="53"/>
      <c r="E18" s="53"/>
      <c r="F18" s="49"/>
      <c r="G18" s="49"/>
      <c r="H18" s="49"/>
      <c r="I18" s="49"/>
      <c r="J18" s="49"/>
      <c r="K18" s="49"/>
      <c r="L18" s="49"/>
      <c r="M18" s="49"/>
    </row>
    <row r="19" spans="1:13" ht="15.6">
      <c r="A19" s="60" t="s">
        <v>126</v>
      </c>
      <c r="B19" s="53"/>
      <c r="C19" s="53"/>
      <c r="D19" s="53"/>
      <c r="E19" s="53"/>
      <c r="F19" s="49"/>
      <c r="G19" s="49"/>
      <c r="H19" s="49"/>
      <c r="I19" s="49"/>
      <c r="J19" s="49"/>
      <c r="K19" s="49"/>
      <c r="L19" s="49"/>
      <c r="M19" s="49"/>
    </row>
    <row r="20" spans="1:13" ht="15.6">
      <c r="A20" s="60" t="s">
        <v>127</v>
      </c>
      <c r="B20" s="53"/>
      <c r="C20" s="53"/>
      <c r="D20" s="53"/>
      <c r="E20" s="53"/>
      <c r="F20" s="49"/>
      <c r="G20" s="49"/>
      <c r="H20" s="49"/>
      <c r="I20" s="49"/>
      <c r="J20" s="49"/>
      <c r="K20" s="49"/>
      <c r="L20" s="49"/>
      <c r="M20" s="49"/>
    </row>
    <row r="21" spans="1:13" ht="15.6">
      <c r="A21" s="60" t="s">
        <v>128</v>
      </c>
      <c r="B21" s="53"/>
      <c r="C21" s="53"/>
      <c r="D21" s="53"/>
      <c r="E21" s="53"/>
      <c r="F21" s="49"/>
      <c r="G21" s="49"/>
      <c r="H21" s="49"/>
      <c r="I21" s="49"/>
      <c r="J21" s="49"/>
      <c r="K21" s="49"/>
      <c r="L21" s="49"/>
      <c r="M21" s="49"/>
    </row>
    <row r="22" spans="1:13" ht="15.6">
      <c r="A22" s="59"/>
      <c r="B22" s="53"/>
      <c r="C22" s="53"/>
      <c r="D22" s="53"/>
      <c r="E22" s="53"/>
      <c r="F22" s="49"/>
      <c r="G22" s="49"/>
      <c r="H22" s="49"/>
      <c r="I22" s="49"/>
      <c r="J22" s="49"/>
      <c r="K22" s="49"/>
      <c r="L22" s="49"/>
      <c r="M22" s="49"/>
    </row>
    <row r="23" spans="1:13" ht="15.6">
      <c r="A23" s="52" t="s">
        <v>129</v>
      </c>
      <c r="B23" s="53"/>
      <c r="C23" s="53"/>
      <c r="D23" s="53"/>
      <c r="E23" s="53"/>
      <c r="F23" s="49"/>
      <c r="G23" s="49"/>
      <c r="H23" s="49"/>
      <c r="I23" s="49"/>
      <c r="J23" s="49"/>
      <c r="K23" s="49"/>
      <c r="L23" s="49"/>
      <c r="M23" s="49"/>
    </row>
    <row r="24" spans="1:13" ht="15.6">
      <c r="A24" s="52" t="s">
        <v>37</v>
      </c>
      <c r="B24" s="61"/>
      <c r="C24" s="49"/>
      <c r="D24" s="49"/>
      <c r="E24" s="49"/>
      <c r="F24" s="49"/>
      <c r="G24" s="49"/>
      <c r="H24" s="49"/>
      <c r="I24" s="49"/>
      <c r="J24" s="49"/>
      <c r="K24" s="49"/>
      <c r="L24" s="49"/>
      <c r="M24" s="49"/>
    </row>
    <row r="25" spans="1:13" ht="15.6">
      <c r="A25" s="62" t="s">
        <v>24</v>
      </c>
      <c r="B25" s="63"/>
      <c r="C25" s="63"/>
      <c r="D25" s="63"/>
      <c r="E25" s="63"/>
    </row>
    <row r="26" spans="1:13" ht="15.6">
      <c r="A26" s="62"/>
      <c r="B26" s="63"/>
      <c r="C26" s="63"/>
      <c r="D26" s="63"/>
      <c r="E26" s="63"/>
    </row>
    <row r="27" spans="1:13" ht="15.6">
      <c r="A27" s="62"/>
      <c r="B27" s="63"/>
      <c r="C27" s="63"/>
      <c r="D27" s="63"/>
      <c r="E27" s="63"/>
    </row>
    <row r="28" spans="1:13" ht="15.6">
      <c r="A28" s="62"/>
      <c r="B28" s="63"/>
      <c r="C28" s="63"/>
      <c r="D28" s="63"/>
      <c r="E28" s="63"/>
    </row>
    <row r="29" spans="1:13" ht="15.6">
      <c r="A29" s="62"/>
      <c r="B29" s="63"/>
      <c r="C29" s="63"/>
      <c r="D29" s="63"/>
      <c r="E29" s="63"/>
    </row>
    <row r="30" spans="1:13" ht="15.6">
      <c r="A30" s="52" t="s">
        <v>130</v>
      </c>
      <c r="B30" s="53"/>
      <c r="C30" s="53"/>
      <c r="D30" s="53"/>
      <c r="E30" s="53"/>
      <c r="F30" s="49"/>
      <c r="G30" s="49"/>
      <c r="H30" s="49"/>
      <c r="I30" s="49"/>
      <c r="J30" s="49"/>
      <c r="K30" s="49"/>
      <c r="L30" s="49"/>
      <c r="M30" s="49"/>
    </row>
    <row r="31" spans="1:13" ht="15.6">
      <c r="A31" s="60" t="s">
        <v>131</v>
      </c>
      <c r="B31" s="53"/>
      <c r="C31" s="53"/>
      <c r="D31" s="53"/>
      <c r="E31" s="53"/>
      <c r="F31" s="49"/>
      <c r="G31" s="49"/>
      <c r="H31" s="49"/>
      <c r="I31" s="49"/>
      <c r="J31" s="49"/>
      <c r="K31" s="49"/>
      <c r="L31" s="49"/>
      <c r="M31" s="49"/>
    </row>
    <row r="32" spans="1:13" ht="15.6">
      <c r="A32" s="60" t="s">
        <v>132</v>
      </c>
      <c r="B32" s="53"/>
      <c r="C32" s="53"/>
      <c r="D32" s="53"/>
      <c r="E32" s="53"/>
      <c r="F32" s="49"/>
      <c r="G32" s="49"/>
      <c r="H32" s="49"/>
      <c r="I32" s="49"/>
      <c r="J32" s="49"/>
      <c r="K32" s="49"/>
      <c r="L32" s="49"/>
      <c r="M32" s="49"/>
    </row>
    <row r="33" spans="1:13" ht="15.6">
      <c r="A33" s="52" t="s">
        <v>37</v>
      </c>
      <c r="B33" s="53"/>
      <c r="C33" s="53"/>
      <c r="D33" s="53"/>
      <c r="E33" s="53"/>
      <c r="F33" s="49"/>
      <c r="G33" s="49"/>
      <c r="H33" s="49"/>
      <c r="I33" s="49"/>
      <c r="J33" s="49"/>
      <c r="K33" s="49"/>
      <c r="L33" s="49"/>
      <c r="M33" s="49"/>
    </row>
    <row r="34" spans="1:13" ht="15.6">
      <c r="A34" s="62" t="s">
        <v>24</v>
      </c>
    </row>
    <row r="46" spans="1:13" ht="15.6">
      <c r="A46" s="64"/>
    </row>
  </sheetData>
  <pageMargins left="0.7" right="0.7" top="0.75" bottom="0.75" header="0.3" footer="0.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93D54-344D-4439-9BB9-C199E11818C0}">
  <sheetPr codeName="Sheet8"/>
  <dimension ref="A1:K15"/>
  <sheetViews>
    <sheetView topLeftCell="A11" workbookViewId="0"/>
  </sheetViews>
  <sheetFormatPr defaultColWidth="8.77734375" defaultRowHeight="14.4"/>
  <cols>
    <col min="1" max="1" width="14.44140625" style="5" customWidth="1"/>
    <col min="2" max="16384" width="8.77734375" style="5"/>
  </cols>
  <sheetData>
    <row r="1" spans="1:11" ht="17.399999999999999">
      <c r="A1" s="3" t="s">
        <v>84</v>
      </c>
      <c r="B1" s="4"/>
      <c r="C1" s="4"/>
      <c r="D1" s="4"/>
      <c r="E1" s="4"/>
      <c r="F1" s="4"/>
      <c r="G1" s="4"/>
      <c r="H1" s="4"/>
      <c r="I1" s="4"/>
      <c r="J1" s="4"/>
      <c r="K1" s="4"/>
    </row>
    <row r="2" spans="1:11" ht="15.6">
      <c r="A2" s="6" t="s">
        <v>85</v>
      </c>
      <c r="B2" s="4"/>
      <c r="C2" s="4"/>
      <c r="D2" s="4"/>
      <c r="E2" s="4"/>
      <c r="F2" s="4"/>
      <c r="G2" s="4"/>
      <c r="H2" s="4"/>
      <c r="I2" s="4"/>
      <c r="J2" s="4"/>
      <c r="K2" s="4"/>
    </row>
    <row r="3" spans="1:11" ht="15.6">
      <c r="A3" s="6" t="s">
        <v>86</v>
      </c>
      <c r="B3" s="4"/>
      <c r="C3" s="4"/>
      <c r="D3" s="4"/>
      <c r="E3" s="4"/>
      <c r="F3" s="4"/>
      <c r="G3" s="4"/>
      <c r="H3" s="4"/>
      <c r="I3" s="4"/>
      <c r="J3" s="4"/>
      <c r="K3" s="4"/>
    </row>
    <row r="4" spans="1:11">
      <c r="A4" s="4"/>
      <c r="B4" s="4"/>
      <c r="C4" s="4"/>
      <c r="D4" s="4"/>
      <c r="E4" s="4"/>
      <c r="F4" s="4"/>
      <c r="G4" s="4"/>
      <c r="H4" s="4"/>
      <c r="I4" s="4"/>
      <c r="J4" s="4"/>
      <c r="K4" s="4"/>
    </row>
    <row r="5" spans="1:11" ht="15.6">
      <c r="A5" s="15" t="s">
        <v>87</v>
      </c>
      <c r="B5" s="16"/>
      <c r="C5" s="16"/>
      <c r="D5" s="16"/>
      <c r="E5" s="16"/>
      <c r="F5" s="16"/>
      <c r="G5" s="16"/>
      <c r="H5" s="4"/>
      <c r="I5" s="4"/>
      <c r="J5" s="4"/>
      <c r="K5" s="4"/>
    </row>
    <row r="6" spans="1:11" ht="15.6">
      <c r="A6" s="38" t="s">
        <v>88</v>
      </c>
      <c r="B6" s="16"/>
      <c r="C6" s="16"/>
      <c r="D6" s="16"/>
      <c r="E6" s="16"/>
      <c r="F6" s="16"/>
      <c r="G6" s="16"/>
      <c r="H6" s="4"/>
      <c r="I6" s="4"/>
      <c r="J6" s="4"/>
      <c r="K6" s="4"/>
    </row>
    <row r="7" spans="1:11" ht="15.6">
      <c r="A7" s="38" t="s">
        <v>89</v>
      </c>
      <c r="B7" s="16"/>
      <c r="C7" s="16"/>
      <c r="D7" s="16"/>
      <c r="E7" s="16"/>
      <c r="F7" s="16"/>
      <c r="G7" s="16"/>
      <c r="H7" s="4"/>
      <c r="I7" s="4"/>
      <c r="J7" s="4"/>
      <c r="K7" s="4"/>
    </row>
    <row r="8" spans="1:11" ht="15.6">
      <c r="A8" s="38" t="s">
        <v>90</v>
      </c>
      <c r="B8" s="16"/>
      <c r="C8" s="16"/>
      <c r="D8" s="16"/>
      <c r="E8" s="16"/>
      <c r="F8" s="16"/>
      <c r="G8" s="16"/>
      <c r="H8" s="4"/>
      <c r="I8" s="4"/>
      <c r="J8" s="4"/>
      <c r="K8" s="4"/>
    </row>
    <row r="9" spans="1:11" ht="16.2" thickBot="1">
      <c r="A9" s="33"/>
      <c r="B9" s="16"/>
      <c r="C9" s="16"/>
      <c r="D9" s="16"/>
      <c r="E9" s="16"/>
      <c r="F9" s="16"/>
      <c r="G9" s="16"/>
      <c r="H9" s="4"/>
      <c r="I9" s="4"/>
      <c r="J9" s="4"/>
      <c r="K9" s="4"/>
    </row>
    <row r="10" spans="1:11" ht="31.8" thickBot="1">
      <c r="A10" s="39" t="s">
        <v>78</v>
      </c>
      <c r="B10" s="18">
        <v>0</v>
      </c>
      <c r="C10" s="18">
        <v>1</v>
      </c>
      <c r="D10" s="18">
        <v>2</v>
      </c>
      <c r="E10" s="18">
        <v>3</v>
      </c>
      <c r="F10" s="18">
        <v>4</v>
      </c>
      <c r="G10" s="18">
        <v>5</v>
      </c>
      <c r="H10" s="4"/>
      <c r="I10" s="4"/>
      <c r="J10" s="4"/>
      <c r="K10" s="4"/>
    </row>
    <row r="11" spans="1:11" ht="50.55" customHeight="1" thickBot="1">
      <c r="A11" s="35" t="s">
        <v>91</v>
      </c>
      <c r="B11" s="40">
        <v>10000</v>
      </c>
      <c r="C11" s="40">
        <v>5000</v>
      </c>
      <c r="D11" s="40">
        <v>1000</v>
      </c>
      <c r="E11" s="14">
        <v>-290</v>
      </c>
      <c r="F11" s="14">
        <v>-300</v>
      </c>
      <c r="G11" s="14">
        <v>250</v>
      </c>
      <c r="H11" s="4"/>
      <c r="I11" s="4"/>
      <c r="J11" s="4"/>
      <c r="K11" s="4"/>
    </row>
    <row r="12" spans="1:11" ht="15.6">
      <c r="A12" s="15"/>
      <c r="B12" s="16"/>
      <c r="C12" s="16"/>
      <c r="D12" s="16"/>
      <c r="E12" s="16"/>
      <c r="F12" s="16"/>
      <c r="G12" s="16"/>
      <c r="H12" s="4"/>
      <c r="I12" s="4"/>
      <c r="J12" s="4"/>
      <c r="K12" s="4"/>
    </row>
    <row r="13" spans="1:11" ht="15.6">
      <c r="A13" s="15" t="s">
        <v>92</v>
      </c>
      <c r="B13" s="16"/>
      <c r="C13" s="16"/>
      <c r="D13" s="16"/>
      <c r="E13" s="16"/>
      <c r="F13" s="16"/>
      <c r="G13" s="16"/>
      <c r="H13" s="4"/>
      <c r="I13" s="4"/>
      <c r="J13" s="4"/>
      <c r="K13" s="4"/>
    </row>
    <row r="14" spans="1:11" ht="15.6">
      <c r="A14" s="15" t="s">
        <v>37</v>
      </c>
      <c r="B14" s="4"/>
      <c r="C14" s="4"/>
      <c r="D14" s="4"/>
      <c r="E14" s="4"/>
      <c r="F14" s="4"/>
      <c r="G14" s="4"/>
      <c r="H14" s="4"/>
      <c r="I14" s="4"/>
      <c r="J14" s="4"/>
      <c r="K14" s="4"/>
    </row>
    <row r="15" spans="1:11" ht="15.6">
      <c r="A15" s="28" t="s">
        <v>24</v>
      </c>
    </row>
  </sheetData>
  <pageMargins left="0.7" right="0.7" top="0.75" bottom="0.75" header="0.3" footer="0.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A31E3-58DF-4925-872E-DEA6A4712A91}">
  <sheetPr codeName="Sheet9"/>
  <dimension ref="A1:M18"/>
  <sheetViews>
    <sheetView topLeftCell="A10" workbookViewId="0"/>
  </sheetViews>
  <sheetFormatPr defaultColWidth="8.77734375" defaultRowHeight="14.4"/>
  <cols>
    <col min="1" max="1" width="23.77734375" style="5" customWidth="1"/>
    <col min="2" max="16384" width="8.77734375" style="5"/>
  </cols>
  <sheetData>
    <row r="1" spans="1:13" ht="17.399999999999999">
      <c r="A1" s="3" t="s">
        <v>93</v>
      </c>
      <c r="B1" s="4"/>
      <c r="C1" s="4"/>
      <c r="D1" s="4"/>
      <c r="E1" s="4"/>
      <c r="F1" s="4"/>
      <c r="G1" s="4"/>
      <c r="H1" s="4"/>
      <c r="I1" s="4"/>
      <c r="J1" s="4"/>
      <c r="K1" s="4"/>
      <c r="L1" s="4"/>
      <c r="M1" s="4"/>
    </row>
    <row r="2" spans="1:13" ht="15.6">
      <c r="A2" s="6" t="s">
        <v>94</v>
      </c>
      <c r="B2" s="4"/>
      <c r="C2" s="4"/>
      <c r="D2" s="4"/>
      <c r="E2" s="4"/>
      <c r="F2" s="4"/>
      <c r="G2" s="4"/>
      <c r="H2" s="4"/>
      <c r="I2" s="4"/>
      <c r="J2" s="4"/>
      <c r="K2" s="4"/>
      <c r="L2" s="4"/>
      <c r="M2" s="4"/>
    </row>
    <row r="3" spans="1:13" ht="15.6">
      <c r="A3" s="6" t="s">
        <v>86</v>
      </c>
      <c r="B3" s="4"/>
      <c r="C3" s="4"/>
      <c r="D3" s="4"/>
      <c r="E3" s="4"/>
      <c r="F3" s="4"/>
      <c r="G3" s="4"/>
      <c r="H3" s="4"/>
      <c r="I3" s="4"/>
      <c r="J3" s="4"/>
      <c r="K3" s="4"/>
      <c r="L3" s="4"/>
      <c r="M3" s="4"/>
    </row>
    <row r="4" spans="1:13">
      <c r="A4" s="4"/>
      <c r="B4" s="4"/>
      <c r="C4" s="4"/>
      <c r="D4" s="4"/>
      <c r="E4" s="4"/>
      <c r="F4" s="4"/>
      <c r="G4" s="4"/>
      <c r="H4" s="4"/>
      <c r="I4" s="4"/>
      <c r="J4" s="4"/>
      <c r="K4" s="4"/>
      <c r="L4" s="4"/>
      <c r="M4" s="4"/>
    </row>
    <row r="5" spans="1:13" ht="15.6">
      <c r="A5" s="15" t="s">
        <v>95</v>
      </c>
      <c r="B5" s="16"/>
      <c r="C5" s="4"/>
      <c r="D5" s="4"/>
      <c r="E5" s="4"/>
      <c r="F5" s="4"/>
      <c r="G5" s="4"/>
      <c r="H5" s="4"/>
      <c r="I5" s="4"/>
      <c r="J5" s="4"/>
      <c r="K5" s="4"/>
      <c r="L5" s="4"/>
      <c r="M5" s="4"/>
    </row>
    <row r="6" spans="1:13" ht="16.2" thickBot="1">
      <c r="A6" s="9"/>
      <c r="B6" s="16"/>
      <c r="C6" s="4"/>
      <c r="D6" s="4"/>
      <c r="E6" s="4"/>
      <c r="F6" s="4"/>
      <c r="G6" s="4"/>
      <c r="H6" s="4"/>
      <c r="I6" s="4"/>
      <c r="J6" s="4"/>
      <c r="K6" s="4"/>
      <c r="L6" s="4"/>
      <c r="M6" s="4"/>
    </row>
    <row r="7" spans="1:13" ht="16.2" thickBot="1">
      <c r="A7" s="41" t="s">
        <v>96</v>
      </c>
      <c r="B7" s="42">
        <v>2400</v>
      </c>
      <c r="C7" s="4"/>
      <c r="D7" s="4"/>
      <c r="E7" s="4"/>
      <c r="F7" s="4"/>
      <c r="G7" s="4"/>
      <c r="H7" s="4"/>
      <c r="I7" s="4"/>
      <c r="J7" s="4"/>
      <c r="K7" s="4"/>
      <c r="L7" s="4"/>
      <c r="M7" s="4"/>
    </row>
    <row r="8" spans="1:13" ht="16.2" thickBot="1">
      <c r="A8" s="43" t="s">
        <v>97</v>
      </c>
      <c r="B8" s="44">
        <v>4500</v>
      </c>
      <c r="C8" s="4"/>
      <c r="D8" s="4"/>
      <c r="E8" s="4"/>
      <c r="F8" s="4"/>
      <c r="G8" s="4"/>
      <c r="H8" s="4"/>
      <c r="I8" s="4"/>
      <c r="J8" s="4"/>
      <c r="K8" s="4"/>
      <c r="L8" s="4"/>
      <c r="M8" s="4"/>
    </row>
    <row r="9" spans="1:13" ht="16.2" thickBot="1">
      <c r="A9" s="43" t="s">
        <v>98</v>
      </c>
      <c r="B9" s="44">
        <v>1350</v>
      </c>
      <c r="C9" s="4"/>
      <c r="D9" s="4"/>
      <c r="E9" s="4"/>
      <c r="F9" s="4"/>
      <c r="G9" s="4"/>
      <c r="H9" s="4"/>
      <c r="I9" s="4"/>
      <c r="J9" s="4"/>
      <c r="K9" s="4"/>
      <c r="L9" s="4"/>
      <c r="M9" s="4"/>
    </row>
    <row r="10" spans="1:13" ht="16.2" thickBot="1">
      <c r="A10" s="43" t="s">
        <v>99</v>
      </c>
      <c r="B10" s="44">
        <v>980</v>
      </c>
      <c r="C10" s="4"/>
      <c r="D10" s="4"/>
      <c r="E10" s="4"/>
      <c r="F10" s="4"/>
      <c r="G10" s="4"/>
      <c r="H10" s="4"/>
      <c r="I10" s="4"/>
      <c r="J10" s="4"/>
      <c r="K10" s="4"/>
      <c r="L10" s="4"/>
      <c r="M10" s="4"/>
    </row>
    <row r="11" spans="1:13" ht="15.6">
      <c r="A11" s="9"/>
      <c r="B11" s="16"/>
      <c r="C11" s="4"/>
      <c r="D11" s="4"/>
      <c r="E11" s="4"/>
      <c r="F11" s="4"/>
      <c r="G11" s="4"/>
      <c r="H11" s="4"/>
      <c r="I11" s="4"/>
      <c r="J11" s="4"/>
      <c r="K11" s="4"/>
      <c r="L11" s="4"/>
      <c r="M11" s="4"/>
    </row>
    <row r="12" spans="1:13" ht="15.6">
      <c r="A12" s="9" t="s">
        <v>100</v>
      </c>
      <c r="B12" s="16"/>
      <c r="C12" s="4"/>
      <c r="D12" s="4"/>
      <c r="E12" s="4"/>
      <c r="F12" s="4"/>
      <c r="G12" s="4"/>
      <c r="H12" s="4"/>
      <c r="I12" s="4"/>
      <c r="J12" s="4"/>
      <c r="K12" s="4"/>
      <c r="L12" s="4"/>
      <c r="M12" s="4"/>
    </row>
    <row r="13" spans="1:13" ht="15.6">
      <c r="A13" s="9"/>
      <c r="B13" s="16"/>
      <c r="C13" s="4"/>
      <c r="D13" s="4"/>
      <c r="E13" s="4"/>
      <c r="F13" s="4"/>
      <c r="G13" s="4"/>
      <c r="H13" s="4"/>
      <c r="I13" s="4"/>
      <c r="J13" s="4"/>
      <c r="K13" s="4"/>
      <c r="L13" s="4"/>
      <c r="M13" s="4"/>
    </row>
    <row r="14" spans="1:13" ht="15.6">
      <c r="A14" s="15" t="s">
        <v>101</v>
      </c>
      <c r="B14" s="16"/>
      <c r="C14" s="4"/>
      <c r="D14" s="4"/>
      <c r="E14" s="4"/>
      <c r="F14" s="4"/>
      <c r="G14" s="4"/>
      <c r="H14" s="4"/>
      <c r="I14" s="4"/>
      <c r="J14" s="4"/>
      <c r="K14" s="4"/>
      <c r="L14" s="4"/>
      <c r="M14" s="4"/>
    </row>
    <row r="15" spans="1:13" ht="15.6">
      <c r="A15" s="15" t="s">
        <v>37</v>
      </c>
      <c r="B15" s="4"/>
      <c r="C15" s="4"/>
      <c r="D15" s="4"/>
      <c r="E15" s="4"/>
      <c r="F15" s="4"/>
      <c r="G15" s="4"/>
      <c r="H15" s="4"/>
      <c r="I15" s="4"/>
      <c r="J15" s="4"/>
      <c r="K15" s="4"/>
      <c r="L15" s="4"/>
      <c r="M15" s="4"/>
    </row>
    <row r="16" spans="1:13" ht="15.6">
      <c r="A16" s="28" t="s">
        <v>24</v>
      </c>
      <c r="B16" s="37"/>
    </row>
    <row r="17" spans="1:2" ht="15.6">
      <c r="A17" s="45"/>
      <c r="B17" s="37"/>
    </row>
    <row r="18" spans="1:2" ht="15.6">
      <c r="A18" s="45"/>
      <c r="B18" s="37"/>
    </row>
  </sheetData>
  <pageMargins left="0.7" right="0.7" top="0.75" bottom="0.75" header="0.3" footer="0.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C9633-3549-4AD3-92A0-FFE54C47BF64}">
  <sheetPr codeName="Sheet10"/>
  <dimension ref="A1:M16"/>
  <sheetViews>
    <sheetView workbookViewId="0"/>
  </sheetViews>
  <sheetFormatPr defaultColWidth="8.77734375" defaultRowHeight="14.4"/>
  <cols>
    <col min="1" max="1" width="23.77734375" style="5" customWidth="1"/>
    <col min="2" max="16384" width="8.77734375" style="5"/>
  </cols>
  <sheetData>
    <row r="1" spans="1:13" ht="17.399999999999999">
      <c r="A1" s="3" t="s">
        <v>93</v>
      </c>
      <c r="B1" s="4"/>
      <c r="C1" s="4"/>
      <c r="D1" s="4"/>
      <c r="E1" s="4"/>
      <c r="F1" s="4"/>
      <c r="G1" s="4"/>
      <c r="H1" s="4"/>
      <c r="I1" s="4"/>
      <c r="J1" s="4"/>
      <c r="K1" s="4"/>
      <c r="L1" s="4"/>
      <c r="M1" s="4"/>
    </row>
    <row r="2" spans="1:13" ht="15.6">
      <c r="A2" s="6" t="s">
        <v>94</v>
      </c>
      <c r="B2" s="4"/>
      <c r="C2" s="4"/>
      <c r="D2" s="4"/>
      <c r="E2" s="4"/>
      <c r="F2" s="4"/>
      <c r="G2" s="4"/>
      <c r="H2" s="4"/>
      <c r="I2" s="4"/>
      <c r="J2" s="4"/>
      <c r="K2" s="4"/>
      <c r="L2" s="4"/>
      <c r="M2" s="4"/>
    </row>
    <row r="3" spans="1:13" ht="15.6">
      <c r="A3" s="6" t="s">
        <v>86</v>
      </c>
      <c r="B3" s="4"/>
      <c r="C3" s="4"/>
      <c r="D3" s="4"/>
      <c r="E3" s="4"/>
      <c r="F3" s="4"/>
      <c r="G3" s="4"/>
      <c r="H3" s="4"/>
      <c r="I3" s="4"/>
      <c r="J3" s="4"/>
      <c r="K3" s="4"/>
      <c r="L3" s="4"/>
      <c r="M3" s="4"/>
    </row>
    <row r="4" spans="1:13">
      <c r="A4" s="4"/>
      <c r="B4" s="4"/>
      <c r="C4" s="4"/>
      <c r="D4" s="4"/>
      <c r="E4" s="4"/>
      <c r="F4" s="4"/>
      <c r="G4" s="4"/>
      <c r="H4" s="4"/>
      <c r="I4" s="4"/>
      <c r="J4" s="4"/>
      <c r="K4" s="4"/>
      <c r="L4" s="4"/>
      <c r="M4" s="4"/>
    </row>
    <row r="5" spans="1:13" ht="15.6">
      <c r="A5" s="15" t="s">
        <v>95</v>
      </c>
      <c r="B5" s="16"/>
      <c r="C5" s="4"/>
      <c r="D5" s="4"/>
      <c r="E5" s="4"/>
      <c r="F5" s="4"/>
      <c r="G5" s="4"/>
      <c r="H5" s="4"/>
      <c r="I5" s="4"/>
      <c r="J5" s="4"/>
      <c r="K5" s="4"/>
      <c r="L5" s="4"/>
      <c r="M5" s="4"/>
    </row>
    <row r="6" spans="1:13" ht="16.2" thickBot="1">
      <c r="A6" s="9"/>
      <c r="B6" s="16"/>
      <c r="C6" s="4"/>
      <c r="D6" s="4"/>
      <c r="E6" s="4"/>
      <c r="F6" s="4"/>
      <c r="G6" s="4"/>
      <c r="H6" s="4"/>
      <c r="I6" s="4"/>
      <c r="J6" s="4"/>
      <c r="K6" s="4"/>
      <c r="L6" s="4"/>
      <c r="M6" s="4"/>
    </row>
    <row r="7" spans="1:13" ht="16.2" thickBot="1">
      <c r="A7" s="41" t="s">
        <v>96</v>
      </c>
      <c r="B7" s="42">
        <v>2400</v>
      </c>
      <c r="C7" s="4"/>
      <c r="D7" s="4"/>
      <c r="E7" s="4"/>
      <c r="F7" s="4"/>
      <c r="G7" s="4"/>
      <c r="H7" s="4"/>
      <c r="I7" s="4"/>
      <c r="J7" s="4"/>
      <c r="K7" s="4"/>
      <c r="L7" s="4"/>
      <c r="M7" s="4"/>
    </row>
    <row r="8" spans="1:13" ht="16.2" thickBot="1">
      <c r="A8" s="43" t="s">
        <v>97</v>
      </c>
      <c r="B8" s="44">
        <v>4500</v>
      </c>
      <c r="C8" s="4"/>
      <c r="D8" s="4"/>
      <c r="E8" s="4"/>
      <c r="F8" s="4"/>
      <c r="G8" s="4"/>
      <c r="H8" s="4"/>
      <c r="I8" s="4"/>
      <c r="J8" s="4"/>
      <c r="K8" s="4"/>
      <c r="L8" s="4"/>
      <c r="M8" s="4"/>
    </row>
    <row r="9" spans="1:13" ht="16.2" thickBot="1">
      <c r="A9" s="43" t="s">
        <v>98</v>
      </c>
      <c r="B9" s="44">
        <v>1350</v>
      </c>
      <c r="C9" s="4"/>
      <c r="D9" s="4"/>
      <c r="E9" s="4"/>
      <c r="F9" s="4"/>
      <c r="G9" s="4"/>
      <c r="H9" s="4"/>
      <c r="I9" s="4"/>
      <c r="J9" s="4"/>
      <c r="K9" s="4"/>
      <c r="L9" s="4"/>
      <c r="M9" s="4"/>
    </row>
    <row r="10" spans="1:13" ht="16.2" thickBot="1">
      <c r="A10" s="43" t="s">
        <v>99</v>
      </c>
      <c r="B10" s="44">
        <v>980</v>
      </c>
      <c r="C10" s="4"/>
      <c r="D10" s="4"/>
      <c r="E10" s="4"/>
      <c r="F10" s="4"/>
      <c r="G10" s="4"/>
      <c r="H10" s="4"/>
      <c r="I10" s="4"/>
      <c r="J10" s="4"/>
      <c r="K10" s="4"/>
      <c r="L10" s="4"/>
      <c r="M10" s="4"/>
    </row>
    <row r="11" spans="1:13" ht="15.6">
      <c r="A11" s="9"/>
      <c r="B11" s="16"/>
      <c r="C11" s="4"/>
      <c r="D11" s="4"/>
      <c r="E11" s="4"/>
      <c r="F11" s="4"/>
      <c r="G11" s="4"/>
      <c r="H11" s="4"/>
      <c r="I11" s="4"/>
      <c r="J11" s="4"/>
      <c r="K11" s="4"/>
      <c r="L11" s="4"/>
      <c r="M11" s="4"/>
    </row>
    <row r="12" spans="1:13" ht="15.6">
      <c r="A12" s="9" t="s">
        <v>100</v>
      </c>
      <c r="B12" s="16"/>
      <c r="C12" s="4"/>
      <c r="D12" s="4"/>
      <c r="E12" s="4"/>
      <c r="F12" s="4"/>
      <c r="G12" s="4"/>
      <c r="H12" s="4"/>
      <c r="I12" s="4"/>
      <c r="J12" s="4"/>
      <c r="K12" s="4"/>
      <c r="L12" s="4"/>
      <c r="M12" s="4"/>
    </row>
    <row r="13" spans="1:13" ht="15.6">
      <c r="A13" s="9"/>
      <c r="B13" s="16"/>
      <c r="C13" s="4"/>
      <c r="D13" s="4"/>
      <c r="E13" s="4"/>
      <c r="F13" s="4"/>
      <c r="G13" s="4"/>
      <c r="H13" s="4"/>
      <c r="I13" s="4"/>
      <c r="J13" s="4"/>
      <c r="K13" s="4"/>
      <c r="L13" s="4"/>
      <c r="M13" s="4"/>
    </row>
    <row r="14" spans="1:13" ht="15.6">
      <c r="A14" s="15" t="s">
        <v>102</v>
      </c>
      <c r="B14" s="16"/>
      <c r="C14" s="4"/>
      <c r="D14" s="4"/>
      <c r="E14" s="4"/>
      <c r="F14" s="4"/>
      <c r="G14" s="4"/>
      <c r="H14" s="4"/>
      <c r="I14" s="4"/>
      <c r="J14" s="4"/>
      <c r="K14" s="4"/>
      <c r="L14" s="4"/>
      <c r="M14" s="4"/>
    </row>
    <row r="15" spans="1:13" ht="15.6">
      <c r="A15" s="15" t="s">
        <v>37</v>
      </c>
      <c r="B15" s="4"/>
      <c r="C15" s="4"/>
      <c r="D15" s="4"/>
      <c r="E15" s="4"/>
      <c r="F15" s="4"/>
      <c r="G15" s="4"/>
      <c r="H15" s="4"/>
      <c r="I15" s="4"/>
      <c r="J15" s="4"/>
      <c r="K15" s="4"/>
      <c r="L15" s="4"/>
      <c r="M15" s="4"/>
    </row>
    <row r="16" spans="1:13" ht="15.6">
      <c r="A16" s="28" t="s">
        <v>24</v>
      </c>
    </row>
  </sheetData>
  <pageMargins left="0.7" right="0.7" top="0.75" bottom="0.75" header="0.3" footer="0.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D509E-7C66-40B2-926C-3E97A296F994}">
  <sheetPr codeName="Sheet11"/>
  <dimension ref="A1:XFA19"/>
  <sheetViews>
    <sheetView workbookViewId="0"/>
  </sheetViews>
  <sheetFormatPr defaultColWidth="8.77734375" defaultRowHeight="14.4"/>
  <cols>
    <col min="1" max="1" width="23.5546875" style="5" customWidth="1"/>
    <col min="2" max="16384" width="8.77734375" style="5"/>
  </cols>
  <sheetData>
    <row r="1" spans="1:13" ht="17.399999999999999">
      <c r="A1" s="3" t="s">
        <v>103</v>
      </c>
      <c r="B1" s="4"/>
      <c r="C1" s="4"/>
      <c r="D1" s="4"/>
      <c r="E1" s="4"/>
      <c r="F1" s="4"/>
      <c r="G1" s="4"/>
      <c r="H1" s="4"/>
      <c r="I1" s="4"/>
      <c r="J1" s="4"/>
      <c r="K1" s="4"/>
      <c r="L1" s="4"/>
      <c r="M1" s="4"/>
    </row>
    <row r="2" spans="1:13" ht="15.6">
      <c r="A2" s="6" t="s">
        <v>85</v>
      </c>
      <c r="B2" s="4"/>
      <c r="C2" s="4"/>
      <c r="D2" s="4"/>
      <c r="E2" s="4"/>
      <c r="F2" s="4"/>
      <c r="G2" s="4"/>
      <c r="H2" s="4"/>
      <c r="I2" s="4"/>
      <c r="J2" s="4"/>
      <c r="K2" s="4"/>
      <c r="L2" s="4"/>
      <c r="M2" s="4"/>
    </row>
    <row r="3" spans="1:13" ht="15.6">
      <c r="A3" s="6" t="s">
        <v>104</v>
      </c>
      <c r="B3" s="4"/>
      <c r="C3" s="4"/>
      <c r="D3" s="4"/>
      <c r="E3" s="4"/>
      <c r="F3" s="4"/>
      <c r="G3" s="4"/>
      <c r="H3" s="4"/>
      <c r="I3" s="4"/>
      <c r="J3" s="4"/>
      <c r="K3" s="4"/>
      <c r="L3" s="4"/>
      <c r="M3" s="4"/>
    </row>
    <row r="4" spans="1:13">
      <c r="A4" s="4"/>
      <c r="B4" s="4"/>
      <c r="C4" s="4"/>
      <c r="D4" s="4"/>
      <c r="E4" s="4"/>
      <c r="F4" s="4"/>
      <c r="G4" s="4"/>
      <c r="H4" s="4"/>
      <c r="I4" s="4"/>
      <c r="J4" s="4"/>
      <c r="K4" s="4"/>
      <c r="L4" s="4"/>
      <c r="M4" s="4"/>
    </row>
    <row r="5" spans="1:13" ht="15.6">
      <c r="A5" s="15" t="s">
        <v>105</v>
      </c>
      <c r="B5" s="16"/>
      <c r="C5" s="16"/>
      <c r="D5" s="16"/>
      <c r="E5" s="16"/>
      <c r="F5" s="16"/>
      <c r="G5" s="16"/>
      <c r="H5" s="4"/>
      <c r="I5" s="4"/>
      <c r="J5" s="4"/>
      <c r="K5" s="4"/>
      <c r="L5" s="4"/>
      <c r="M5" s="4"/>
    </row>
    <row r="6" spans="1:13" ht="15.6">
      <c r="A6" s="15"/>
      <c r="B6" s="16"/>
      <c r="C6" s="16"/>
      <c r="D6" s="16"/>
      <c r="E6" s="16"/>
      <c r="F6" s="16"/>
      <c r="G6" s="16"/>
      <c r="H6" s="4"/>
      <c r="I6" s="4"/>
      <c r="J6" s="4"/>
      <c r="K6" s="4"/>
      <c r="L6" s="4"/>
      <c r="M6" s="4"/>
    </row>
    <row r="7" spans="1:13" ht="15.6">
      <c r="A7" s="36" t="s">
        <v>106</v>
      </c>
      <c r="B7" s="16"/>
      <c r="C7" s="16"/>
      <c r="D7" s="16"/>
      <c r="E7" s="16"/>
      <c r="F7" s="16"/>
      <c r="G7" s="16"/>
      <c r="H7" s="4"/>
      <c r="I7" s="4"/>
      <c r="J7" s="4"/>
      <c r="K7" s="4"/>
      <c r="L7" s="4"/>
      <c r="M7" s="4"/>
    </row>
    <row r="8" spans="1:13" ht="15.6">
      <c r="A8" s="36" t="s">
        <v>107</v>
      </c>
      <c r="B8" s="16"/>
      <c r="C8" s="16"/>
      <c r="D8" s="16"/>
      <c r="E8" s="16"/>
      <c r="F8" s="16"/>
      <c r="G8" s="16"/>
      <c r="H8" s="4"/>
      <c r="I8" s="4"/>
      <c r="J8" s="4"/>
      <c r="K8" s="4"/>
      <c r="L8" s="4"/>
      <c r="M8" s="4"/>
    </row>
    <row r="9" spans="1:13" ht="15.6">
      <c r="A9" s="36" t="s">
        <v>108</v>
      </c>
      <c r="B9" s="16"/>
      <c r="C9" s="16"/>
      <c r="D9" s="16"/>
      <c r="E9" s="16"/>
      <c r="F9" s="16"/>
      <c r="G9" s="16"/>
      <c r="H9" s="4"/>
      <c r="I9" s="4"/>
      <c r="J9" s="4"/>
      <c r="K9" s="4"/>
      <c r="L9" s="4"/>
      <c r="M9" s="4"/>
    </row>
    <row r="10" spans="1:13" ht="16.2" thickBot="1">
      <c r="A10" s="9"/>
      <c r="B10" s="16"/>
      <c r="C10" s="16"/>
      <c r="D10" s="16"/>
      <c r="E10" s="16"/>
      <c r="F10" s="16"/>
      <c r="G10" s="16"/>
      <c r="H10" s="4"/>
      <c r="I10" s="4"/>
      <c r="J10" s="4"/>
      <c r="K10" s="4"/>
      <c r="L10" s="4"/>
      <c r="M10" s="4"/>
    </row>
    <row r="11" spans="1:13" ht="33.6" customHeight="1" thickBot="1">
      <c r="A11" s="11" t="s">
        <v>109</v>
      </c>
      <c r="B11" s="18">
        <v>2017</v>
      </c>
      <c r="C11" s="18">
        <v>2018</v>
      </c>
      <c r="D11" s="18">
        <v>2019</v>
      </c>
      <c r="E11" s="18">
        <v>2020</v>
      </c>
      <c r="F11" s="18">
        <v>2021</v>
      </c>
      <c r="G11" s="18">
        <v>2022</v>
      </c>
      <c r="H11" s="4"/>
      <c r="I11" s="4"/>
      <c r="J11" s="4"/>
      <c r="K11" s="4"/>
      <c r="L11" s="4"/>
      <c r="M11" s="4"/>
    </row>
    <row r="12" spans="1:13" ht="30.6" customHeight="1" thickBot="1">
      <c r="A12" s="29" t="s">
        <v>110</v>
      </c>
      <c r="B12" s="14">
        <v>500</v>
      </c>
      <c r="C12" s="14">
        <v>250</v>
      </c>
      <c r="D12" s="14">
        <v>0</v>
      </c>
      <c r="E12" s="14">
        <v>0</v>
      </c>
      <c r="F12" s="14">
        <v>0</v>
      </c>
      <c r="G12" s="14">
        <v>0</v>
      </c>
      <c r="H12" s="4"/>
      <c r="I12" s="4"/>
      <c r="J12" s="4"/>
      <c r="K12" s="4"/>
      <c r="L12" s="4"/>
      <c r="M12" s="4"/>
    </row>
    <row r="13" spans="1:13" ht="25.5" customHeight="1" thickBot="1">
      <c r="A13" s="29" t="s">
        <v>111</v>
      </c>
      <c r="B13" s="46">
        <v>0.1</v>
      </c>
      <c r="C13" s="46">
        <v>0.1</v>
      </c>
      <c r="D13" s="46">
        <v>0.1</v>
      </c>
      <c r="E13" s="46">
        <v>0.1</v>
      </c>
      <c r="F13" s="46">
        <v>0.1</v>
      </c>
      <c r="G13" s="46">
        <v>1</v>
      </c>
      <c r="H13" s="4"/>
      <c r="I13" s="4"/>
      <c r="J13" s="4"/>
      <c r="K13" s="4"/>
      <c r="L13" s="4"/>
      <c r="M13" s="4"/>
    </row>
    <row r="14" spans="1:13" ht="33.6" customHeight="1" thickBot="1">
      <c r="A14" s="29" t="s">
        <v>112</v>
      </c>
      <c r="B14" s="14">
        <v>700</v>
      </c>
      <c r="C14" s="14">
        <v>500</v>
      </c>
      <c r="D14" s="14">
        <v>300</v>
      </c>
      <c r="E14" s="14" t="s">
        <v>113</v>
      </c>
      <c r="F14" s="14" t="s">
        <v>113</v>
      </c>
      <c r="G14" s="14" t="s">
        <v>113</v>
      </c>
      <c r="H14" s="4"/>
      <c r="I14" s="4"/>
      <c r="J14" s="4"/>
      <c r="K14" s="4"/>
      <c r="L14" s="4"/>
      <c r="M14" s="4"/>
    </row>
    <row r="15" spans="1:13" ht="15.6">
      <c r="A15" s="15"/>
      <c r="B15" s="16"/>
      <c r="C15" s="16"/>
      <c r="D15" s="16"/>
      <c r="E15" s="16"/>
      <c r="F15" s="16"/>
      <c r="G15" s="16"/>
      <c r="H15" s="4"/>
      <c r="I15" s="4"/>
      <c r="J15" s="4"/>
      <c r="K15" s="4"/>
      <c r="L15" s="4"/>
      <c r="M15" s="4"/>
    </row>
    <row r="16" spans="1:13" ht="15.6">
      <c r="A16" s="15" t="s">
        <v>114</v>
      </c>
      <c r="B16" s="16"/>
      <c r="C16" s="16"/>
      <c r="D16" s="16"/>
      <c r="E16" s="16"/>
      <c r="F16" s="16"/>
      <c r="G16" s="16"/>
      <c r="H16" s="4"/>
      <c r="I16" s="4"/>
      <c r="J16" s="4"/>
      <c r="K16" s="4"/>
      <c r="L16" s="4"/>
      <c r="M16" s="4"/>
    </row>
    <row r="17" spans="1:1021 1026:2046 2051:3071 3076:4096 4101:5116 5121:6141 6146:7166 7171:8191 8196:9216 9221:10236 10241:11261 11266:12286 12291:13311 13316:14336 14341:15356 15361:16381" ht="15.6">
      <c r="A17" s="15" t="s">
        <v>115</v>
      </c>
      <c r="B17" s="16"/>
      <c r="C17" s="16"/>
      <c r="D17" s="16"/>
      <c r="E17" s="16"/>
      <c r="F17" s="16"/>
      <c r="G17" s="16"/>
      <c r="H17" s="4"/>
      <c r="I17" s="4"/>
      <c r="J17" s="4"/>
      <c r="K17" s="4"/>
      <c r="L17" s="4"/>
      <c r="M17" s="4"/>
    </row>
    <row r="18" spans="1:1021 1026:2046 2051:3071 3076:4096 4101:5116 5121:6141 6146:7166 7171:8191 8196:9216 9221:10236 10241:11261 11266:12286 12291:13311 13316:14336 14341:15356 15361:16381" s="16" customFormat="1" ht="15.6">
      <c r="A18" s="15" t="s">
        <v>37</v>
      </c>
      <c r="F18" s="15"/>
      <c r="K18" s="15"/>
      <c r="P18" s="15"/>
      <c r="U18" s="15"/>
      <c r="Z18" s="15"/>
      <c r="AE18" s="15"/>
      <c r="AJ18" s="15"/>
      <c r="AO18" s="15"/>
      <c r="AT18" s="15"/>
      <c r="AY18" s="15"/>
      <c r="BD18" s="15"/>
      <c r="BI18" s="15"/>
      <c r="BN18" s="15"/>
      <c r="BS18" s="15"/>
      <c r="BX18" s="15"/>
      <c r="CC18" s="15"/>
      <c r="CH18" s="15"/>
      <c r="CM18" s="15"/>
      <c r="CR18" s="15"/>
      <c r="CW18" s="15"/>
      <c r="DB18" s="15"/>
      <c r="DG18" s="15"/>
      <c r="DL18" s="15"/>
      <c r="DQ18" s="15"/>
      <c r="DV18" s="15"/>
      <c r="EA18" s="15"/>
      <c r="EF18" s="15"/>
      <c r="EK18" s="15"/>
      <c r="EP18" s="15"/>
      <c r="EU18" s="15"/>
      <c r="EZ18" s="15"/>
      <c r="FE18" s="15"/>
      <c r="FJ18" s="15"/>
      <c r="FO18" s="15"/>
      <c r="FT18" s="15"/>
      <c r="FY18" s="15"/>
      <c r="GD18" s="15"/>
      <c r="GI18" s="15"/>
      <c r="GN18" s="15"/>
      <c r="GS18" s="15"/>
      <c r="GX18" s="15"/>
      <c r="HC18" s="15"/>
      <c r="HH18" s="15"/>
      <c r="HM18" s="15"/>
      <c r="HR18" s="15"/>
      <c r="HW18" s="15"/>
      <c r="IB18" s="15"/>
      <c r="IG18" s="15"/>
      <c r="IL18" s="15"/>
      <c r="IQ18" s="15"/>
      <c r="IV18" s="15"/>
      <c r="JA18" s="15"/>
      <c r="JF18" s="15"/>
      <c r="JK18" s="15"/>
      <c r="JP18" s="15"/>
      <c r="JU18" s="15"/>
      <c r="JZ18" s="15"/>
      <c r="KE18" s="15"/>
      <c r="KJ18" s="15"/>
      <c r="KO18" s="15"/>
      <c r="KT18" s="15"/>
      <c r="KY18" s="15"/>
      <c r="LD18" s="15"/>
      <c r="LI18" s="15"/>
      <c r="LN18" s="15"/>
      <c r="LS18" s="15"/>
      <c r="LX18" s="15"/>
      <c r="MC18" s="15"/>
      <c r="MH18" s="15"/>
      <c r="MM18" s="15"/>
      <c r="MR18" s="15"/>
      <c r="MW18" s="15"/>
      <c r="NB18" s="15"/>
      <c r="NG18" s="15"/>
      <c r="NL18" s="15"/>
      <c r="NQ18" s="15"/>
      <c r="NV18" s="15"/>
      <c r="OA18" s="15"/>
      <c r="OF18" s="15"/>
      <c r="OK18" s="15"/>
      <c r="OP18" s="15"/>
      <c r="OU18" s="15"/>
      <c r="OZ18" s="15"/>
      <c r="PE18" s="15"/>
      <c r="PJ18" s="15"/>
      <c r="PO18" s="15"/>
      <c r="PT18" s="15"/>
      <c r="PY18" s="15"/>
      <c r="QD18" s="15"/>
      <c r="QI18" s="15"/>
      <c r="QN18" s="15"/>
      <c r="QS18" s="15"/>
      <c r="QX18" s="15"/>
      <c r="RC18" s="15"/>
      <c r="RH18" s="15"/>
      <c r="RM18" s="15"/>
      <c r="RR18" s="15"/>
      <c r="RW18" s="15"/>
      <c r="SB18" s="15"/>
      <c r="SG18" s="15"/>
      <c r="SL18" s="15"/>
      <c r="SQ18" s="15"/>
      <c r="SV18" s="15"/>
      <c r="TA18" s="15"/>
      <c r="TF18" s="15"/>
      <c r="TK18" s="15"/>
      <c r="TP18" s="15"/>
      <c r="TU18" s="15"/>
      <c r="TZ18" s="15"/>
      <c r="UE18" s="15"/>
      <c r="UJ18" s="15"/>
      <c r="UO18" s="15"/>
      <c r="UT18" s="15"/>
      <c r="UY18" s="15"/>
      <c r="VD18" s="15"/>
      <c r="VI18" s="15"/>
      <c r="VN18" s="15"/>
      <c r="VS18" s="15"/>
      <c r="VX18" s="15"/>
      <c r="WC18" s="15"/>
      <c r="WH18" s="15"/>
      <c r="WM18" s="15"/>
      <c r="WR18" s="15"/>
      <c r="WW18" s="15"/>
      <c r="XB18" s="15"/>
      <c r="XG18" s="15"/>
      <c r="XL18" s="15"/>
      <c r="XQ18" s="15"/>
      <c r="XV18" s="15"/>
      <c r="YA18" s="15"/>
      <c r="YF18" s="15"/>
      <c r="YK18" s="15"/>
      <c r="YP18" s="15"/>
      <c r="YU18" s="15"/>
      <c r="YZ18" s="15"/>
      <c r="ZE18" s="15"/>
      <c r="ZJ18" s="15"/>
      <c r="ZO18" s="15"/>
      <c r="ZT18" s="15"/>
      <c r="ZY18" s="15"/>
      <c r="AAD18" s="15"/>
      <c r="AAI18" s="15"/>
      <c r="AAN18" s="15"/>
      <c r="AAS18" s="15"/>
      <c r="AAX18" s="15"/>
      <c r="ABC18" s="15"/>
      <c r="ABH18" s="15"/>
      <c r="ABM18" s="15"/>
      <c r="ABR18" s="15"/>
      <c r="ABW18" s="15"/>
      <c r="ACB18" s="15"/>
      <c r="ACG18" s="15"/>
      <c r="ACL18" s="15"/>
      <c r="ACQ18" s="15"/>
      <c r="ACV18" s="15"/>
      <c r="ADA18" s="15"/>
      <c r="ADF18" s="15"/>
      <c r="ADK18" s="15"/>
      <c r="ADP18" s="15"/>
      <c r="ADU18" s="15"/>
      <c r="ADZ18" s="15"/>
      <c r="AEE18" s="15"/>
      <c r="AEJ18" s="15"/>
      <c r="AEO18" s="15"/>
      <c r="AET18" s="15"/>
      <c r="AEY18" s="15"/>
      <c r="AFD18" s="15"/>
      <c r="AFI18" s="15"/>
      <c r="AFN18" s="15"/>
      <c r="AFS18" s="15"/>
      <c r="AFX18" s="15"/>
      <c r="AGC18" s="15"/>
      <c r="AGH18" s="15"/>
      <c r="AGM18" s="15"/>
      <c r="AGR18" s="15"/>
      <c r="AGW18" s="15"/>
      <c r="AHB18" s="15"/>
      <c r="AHG18" s="15"/>
      <c r="AHL18" s="15"/>
      <c r="AHQ18" s="15"/>
      <c r="AHV18" s="15"/>
      <c r="AIA18" s="15"/>
      <c r="AIF18" s="15"/>
      <c r="AIK18" s="15"/>
      <c r="AIP18" s="15"/>
      <c r="AIU18" s="15"/>
      <c r="AIZ18" s="15"/>
      <c r="AJE18" s="15"/>
      <c r="AJJ18" s="15"/>
      <c r="AJO18" s="15"/>
      <c r="AJT18" s="15"/>
      <c r="AJY18" s="15"/>
      <c r="AKD18" s="15"/>
      <c r="AKI18" s="15"/>
      <c r="AKN18" s="15"/>
      <c r="AKS18" s="15"/>
      <c r="AKX18" s="15"/>
      <c r="ALC18" s="15"/>
      <c r="ALH18" s="15"/>
      <c r="ALM18" s="15"/>
      <c r="ALR18" s="15"/>
      <c r="ALW18" s="15"/>
      <c r="AMB18" s="15"/>
      <c r="AMG18" s="15"/>
      <c r="AML18" s="15"/>
      <c r="AMQ18" s="15"/>
      <c r="AMV18" s="15"/>
      <c r="ANA18" s="15"/>
      <c r="ANF18" s="15"/>
      <c r="ANK18" s="15"/>
      <c r="ANP18" s="15"/>
      <c r="ANU18" s="15"/>
      <c r="ANZ18" s="15"/>
      <c r="AOE18" s="15"/>
      <c r="AOJ18" s="15"/>
      <c r="AOO18" s="15"/>
      <c r="AOT18" s="15"/>
      <c r="AOY18" s="15"/>
      <c r="APD18" s="15"/>
      <c r="API18" s="15"/>
      <c r="APN18" s="15"/>
      <c r="APS18" s="15"/>
      <c r="APX18" s="15"/>
      <c r="AQC18" s="15"/>
      <c r="AQH18" s="15"/>
      <c r="AQM18" s="15"/>
      <c r="AQR18" s="15"/>
      <c r="AQW18" s="15"/>
      <c r="ARB18" s="15"/>
      <c r="ARG18" s="15"/>
      <c r="ARL18" s="15"/>
      <c r="ARQ18" s="15"/>
      <c r="ARV18" s="15"/>
      <c r="ASA18" s="15"/>
      <c r="ASF18" s="15"/>
      <c r="ASK18" s="15"/>
      <c r="ASP18" s="15"/>
      <c r="ASU18" s="15"/>
      <c r="ASZ18" s="15"/>
      <c r="ATE18" s="15"/>
      <c r="ATJ18" s="15"/>
      <c r="ATO18" s="15"/>
      <c r="ATT18" s="15"/>
      <c r="ATY18" s="15"/>
      <c r="AUD18" s="15"/>
      <c r="AUI18" s="15"/>
      <c r="AUN18" s="15"/>
      <c r="AUS18" s="15"/>
      <c r="AUX18" s="15"/>
      <c r="AVC18" s="15"/>
      <c r="AVH18" s="15"/>
      <c r="AVM18" s="15"/>
      <c r="AVR18" s="15"/>
      <c r="AVW18" s="15"/>
      <c r="AWB18" s="15"/>
      <c r="AWG18" s="15"/>
      <c r="AWL18" s="15"/>
      <c r="AWQ18" s="15"/>
      <c r="AWV18" s="15"/>
      <c r="AXA18" s="15"/>
      <c r="AXF18" s="15"/>
      <c r="AXK18" s="15"/>
      <c r="AXP18" s="15"/>
      <c r="AXU18" s="15"/>
      <c r="AXZ18" s="15"/>
      <c r="AYE18" s="15"/>
      <c r="AYJ18" s="15"/>
      <c r="AYO18" s="15"/>
      <c r="AYT18" s="15"/>
      <c r="AYY18" s="15"/>
      <c r="AZD18" s="15"/>
      <c r="AZI18" s="15"/>
      <c r="AZN18" s="15"/>
      <c r="AZS18" s="15"/>
      <c r="AZX18" s="15"/>
      <c r="BAC18" s="15"/>
      <c r="BAH18" s="15"/>
      <c r="BAM18" s="15"/>
      <c r="BAR18" s="15"/>
      <c r="BAW18" s="15"/>
      <c r="BBB18" s="15"/>
      <c r="BBG18" s="15"/>
      <c r="BBL18" s="15"/>
      <c r="BBQ18" s="15"/>
      <c r="BBV18" s="15"/>
      <c r="BCA18" s="15"/>
      <c r="BCF18" s="15"/>
      <c r="BCK18" s="15"/>
      <c r="BCP18" s="15"/>
      <c r="BCU18" s="15"/>
      <c r="BCZ18" s="15"/>
      <c r="BDE18" s="15"/>
      <c r="BDJ18" s="15"/>
      <c r="BDO18" s="15"/>
      <c r="BDT18" s="15"/>
      <c r="BDY18" s="15"/>
      <c r="BED18" s="15"/>
      <c r="BEI18" s="15"/>
      <c r="BEN18" s="15"/>
      <c r="BES18" s="15"/>
      <c r="BEX18" s="15"/>
      <c r="BFC18" s="15"/>
      <c r="BFH18" s="15"/>
      <c r="BFM18" s="15"/>
      <c r="BFR18" s="15"/>
      <c r="BFW18" s="15"/>
      <c r="BGB18" s="15"/>
      <c r="BGG18" s="15"/>
      <c r="BGL18" s="15"/>
      <c r="BGQ18" s="15"/>
      <c r="BGV18" s="15"/>
      <c r="BHA18" s="15"/>
      <c r="BHF18" s="15"/>
      <c r="BHK18" s="15"/>
      <c r="BHP18" s="15"/>
      <c r="BHU18" s="15"/>
      <c r="BHZ18" s="15"/>
      <c r="BIE18" s="15"/>
      <c r="BIJ18" s="15"/>
      <c r="BIO18" s="15"/>
      <c r="BIT18" s="15"/>
      <c r="BIY18" s="15"/>
      <c r="BJD18" s="15"/>
      <c r="BJI18" s="15"/>
      <c r="BJN18" s="15"/>
      <c r="BJS18" s="15"/>
      <c r="BJX18" s="15"/>
      <c r="BKC18" s="15"/>
      <c r="BKH18" s="15"/>
      <c r="BKM18" s="15"/>
      <c r="BKR18" s="15"/>
      <c r="BKW18" s="15"/>
      <c r="BLB18" s="15"/>
      <c r="BLG18" s="15"/>
      <c r="BLL18" s="15"/>
      <c r="BLQ18" s="15"/>
      <c r="BLV18" s="15"/>
      <c r="BMA18" s="15"/>
      <c r="BMF18" s="15"/>
      <c r="BMK18" s="15"/>
      <c r="BMP18" s="15"/>
      <c r="BMU18" s="15"/>
      <c r="BMZ18" s="15"/>
      <c r="BNE18" s="15"/>
      <c r="BNJ18" s="15"/>
      <c r="BNO18" s="15"/>
      <c r="BNT18" s="15"/>
      <c r="BNY18" s="15"/>
      <c r="BOD18" s="15"/>
      <c r="BOI18" s="15"/>
      <c r="BON18" s="15"/>
      <c r="BOS18" s="15"/>
      <c r="BOX18" s="15"/>
      <c r="BPC18" s="15"/>
      <c r="BPH18" s="15"/>
      <c r="BPM18" s="15"/>
      <c r="BPR18" s="15"/>
      <c r="BPW18" s="15"/>
      <c r="BQB18" s="15"/>
      <c r="BQG18" s="15"/>
      <c r="BQL18" s="15"/>
      <c r="BQQ18" s="15"/>
      <c r="BQV18" s="15"/>
      <c r="BRA18" s="15"/>
      <c r="BRF18" s="15"/>
      <c r="BRK18" s="15"/>
      <c r="BRP18" s="15"/>
      <c r="BRU18" s="15"/>
      <c r="BRZ18" s="15"/>
      <c r="BSE18" s="15"/>
      <c r="BSJ18" s="15"/>
      <c r="BSO18" s="15"/>
      <c r="BST18" s="15"/>
      <c r="BSY18" s="15"/>
      <c r="BTD18" s="15"/>
      <c r="BTI18" s="15"/>
      <c r="BTN18" s="15"/>
      <c r="BTS18" s="15"/>
      <c r="BTX18" s="15"/>
      <c r="BUC18" s="15"/>
      <c r="BUH18" s="15"/>
      <c r="BUM18" s="15"/>
      <c r="BUR18" s="15"/>
      <c r="BUW18" s="15"/>
      <c r="BVB18" s="15"/>
      <c r="BVG18" s="15"/>
      <c r="BVL18" s="15"/>
      <c r="BVQ18" s="15"/>
      <c r="BVV18" s="15"/>
      <c r="BWA18" s="15"/>
      <c r="BWF18" s="15"/>
      <c r="BWK18" s="15"/>
      <c r="BWP18" s="15"/>
      <c r="BWU18" s="15"/>
      <c r="BWZ18" s="15"/>
      <c r="BXE18" s="15"/>
      <c r="BXJ18" s="15"/>
      <c r="BXO18" s="15"/>
      <c r="BXT18" s="15"/>
      <c r="BXY18" s="15"/>
      <c r="BYD18" s="15"/>
      <c r="BYI18" s="15"/>
      <c r="BYN18" s="15"/>
      <c r="BYS18" s="15"/>
      <c r="BYX18" s="15"/>
      <c r="BZC18" s="15"/>
      <c r="BZH18" s="15"/>
      <c r="BZM18" s="15"/>
      <c r="BZR18" s="15"/>
      <c r="BZW18" s="15"/>
      <c r="CAB18" s="15"/>
      <c r="CAG18" s="15"/>
      <c r="CAL18" s="15"/>
      <c r="CAQ18" s="15"/>
      <c r="CAV18" s="15"/>
      <c r="CBA18" s="15"/>
      <c r="CBF18" s="15"/>
      <c r="CBK18" s="15"/>
      <c r="CBP18" s="15"/>
      <c r="CBU18" s="15"/>
      <c r="CBZ18" s="15"/>
      <c r="CCE18" s="15"/>
      <c r="CCJ18" s="15"/>
      <c r="CCO18" s="15"/>
      <c r="CCT18" s="15"/>
      <c r="CCY18" s="15"/>
      <c r="CDD18" s="15"/>
      <c r="CDI18" s="15"/>
      <c r="CDN18" s="15"/>
      <c r="CDS18" s="15"/>
      <c r="CDX18" s="15"/>
      <c r="CEC18" s="15"/>
      <c r="CEH18" s="15"/>
      <c r="CEM18" s="15"/>
      <c r="CER18" s="15"/>
      <c r="CEW18" s="15"/>
      <c r="CFB18" s="15"/>
      <c r="CFG18" s="15"/>
      <c r="CFL18" s="15"/>
      <c r="CFQ18" s="15"/>
      <c r="CFV18" s="15"/>
      <c r="CGA18" s="15"/>
      <c r="CGF18" s="15"/>
      <c r="CGK18" s="15"/>
      <c r="CGP18" s="15"/>
      <c r="CGU18" s="15"/>
      <c r="CGZ18" s="15"/>
      <c r="CHE18" s="15"/>
      <c r="CHJ18" s="15"/>
      <c r="CHO18" s="15"/>
      <c r="CHT18" s="15"/>
      <c r="CHY18" s="15"/>
      <c r="CID18" s="15"/>
      <c r="CII18" s="15"/>
      <c r="CIN18" s="15"/>
      <c r="CIS18" s="15"/>
      <c r="CIX18" s="15"/>
      <c r="CJC18" s="15"/>
      <c r="CJH18" s="15"/>
      <c r="CJM18" s="15"/>
      <c r="CJR18" s="15"/>
      <c r="CJW18" s="15"/>
      <c r="CKB18" s="15"/>
      <c r="CKG18" s="15"/>
      <c r="CKL18" s="15"/>
      <c r="CKQ18" s="15"/>
      <c r="CKV18" s="15"/>
      <c r="CLA18" s="15"/>
      <c r="CLF18" s="15"/>
      <c r="CLK18" s="15"/>
      <c r="CLP18" s="15"/>
      <c r="CLU18" s="15"/>
      <c r="CLZ18" s="15"/>
      <c r="CME18" s="15"/>
      <c r="CMJ18" s="15"/>
      <c r="CMO18" s="15"/>
      <c r="CMT18" s="15"/>
      <c r="CMY18" s="15"/>
      <c r="CND18" s="15"/>
      <c r="CNI18" s="15"/>
      <c r="CNN18" s="15"/>
      <c r="CNS18" s="15"/>
      <c r="CNX18" s="15"/>
      <c r="COC18" s="15"/>
      <c r="COH18" s="15"/>
      <c r="COM18" s="15"/>
      <c r="COR18" s="15"/>
      <c r="COW18" s="15"/>
      <c r="CPB18" s="15"/>
      <c r="CPG18" s="15"/>
      <c r="CPL18" s="15"/>
      <c r="CPQ18" s="15"/>
      <c r="CPV18" s="15"/>
      <c r="CQA18" s="15"/>
      <c r="CQF18" s="15"/>
      <c r="CQK18" s="15"/>
      <c r="CQP18" s="15"/>
      <c r="CQU18" s="15"/>
      <c r="CQZ18" s="15"/>
      <c r="CRE18" s="15"/>
      <c r="CRJ18" s="15"/>
      <c r="CRO18" s="15"/>
      <c r="CRT18" s="15"/>
      <c r="CRY18" s="15"/>
      <c r="CSD18" s="15"/>
      <c r="CSI18" s="15"/>
      <c r="CSN18" s="15"/>
      <c r="CSS18" s="15"/>
      <c r="CSX18" s="15"/>
      <c r="CTC18" s="15"/>
      <c r="CTH18" s="15"/>
      <c r="CTM18" s="15"/>
      <c r="CTR18" s="15"/>
      <c r="CTW18" s="15"/>
      <c r="CUB18" s="15"/>
      <c r="CUG18" s="15"/>
      <c r="CUL18" s="15"/>
      <c r="CUQ18" s="15"/>
      <c r="CUV18" s="15"/>
      <c r="CVA18" s="15"/>
      <c r="CVF18" s="15"/>
      <c r="CVK18" s="15"/>
      <c r="CVP18" s="15"/>
      <c r="CVU18" s="15"/>
      <c r="CVZ18" s="15"/>
      <c r="CWE18" s="15"/>
      <c r="CWJ18" s="15"/>
      <c r="CWO18" s="15"/>
      <c r="CWT18" s="15"/>
      <c r="CWY18" s="15"/>
      <c r="CXD18" s="15"/>
      <c r="CXI18" s="15"/>
      <c r="CXN18" s="15"/>
      <c r="CXS18" s="15"/>
      <c r="CXX18" s="15"/>
      <c r="CYC18" s="15"/>
      <c r="CYH18" s="15"/>
      <c r="CYM18" s="15"/>
      <c r="CYR18" s="15"/>
      <c r="CYW18" s="15"/>
      <c r="CZB18" s="15"/>
      <c r="CZG18" s="15"/>
      <c r="CZL18" s="15"/>
      <c r="CZQ18" s="15"/>
      <c r="CZV18" s="15"/>
      <c r="DAA18" s="15"/>
      <c r="DAF18" s="15"/>
      <c r="DAK18" s="15"/>
      <c r="DAP18" s="15"/>
      <c r="DAU18" s="15"/>
      <c r="DAZ18" s="15"/>
      <c r="DBE18" s="15"/>
      <c r="DBJ18" s="15"/>
      <c r="DBO18" s="15"/>
      <c r="DBT18" s="15"/>
      <c r="DBY18" s="15"/>
      <c r="DCD18" s="15"/>
      <c r="DCI18" s="15"/>
      <c r="DCN18" s="15"/>
      <c r="DCS18" s="15"/>
      <c r="DCX18" s="15"/>
      <c r="DDC18" s="15"/>
      <c r="DDH18" s="15"/>
      <c r="DDM18" s="15"/>
      <c r="DDR18" s="15"/>
      <c r="DDW18" s="15"/>
      <c r="DEB18" s="15"/>
      <c r="DEG18" s="15"/>
      <c r="DEL18" s="15"/>
      <c r="DEQ18" s="15"/>
      <c r="DEV18" s="15"/>
      <c r="DFA18" s="15"/>
      <c r="DFF18" s="15"/>
      <c r="DFK18" s="15"/>
      <c r="DFP18" s="15"/>
      <c r="DFU18" s="15"/>
      <c r="DFZ18" s="15"/>
      <c r="DGE18" s="15"/>
      <c r="DGJ18" s="15"/>
      <c r="DGO18" s="15"/>
      <c r="DGT18" s="15"/>
      <c r="DGY18" s="15"/>
      <c r="DHD18" s="15"/>
      <c r="DHI18" s="15"/>
      <c r="DHN18" s="15"/>
      <c r="DHS18" s="15"/>
      <c r="DHX18" s="15"/>
      <c r="DIC18" s="15"/>
      <c r="DIH18" s="15"/>
      <c r="DIM18" s="15"/>
      <c r="DIR18" s="15"/>
      <c r="DIW18" s="15"/>
      <c r="DJB18" s="15"/>
      <c r="DJG18" s="15"/>
      <c r="DJL18" s="15"/>
      <c r="DJQ18" s="15"/>
      <c r="DJV18" s="15"/>
      <c r="DKA18" s="15"/>
      <c r="DKF18" s="15"/>
      <c r="DKK18" s="15"/>
      <c r="DKP18" s="15"/>
      <c r="DKU18" s="15"/>
      <c r="DKZ18" s="15"/>
      <c r="DLE18" s="15"/>
      <c r="DLJ18" s="15"/>
      <c r="DLO18" s="15"/>
      <c r="DLT18" s="15"/>
      <c r="DLY18" s="15"/>
      <c r="DMD18" s="15"/>
      <c r="DMI18" s="15"/>
      <c r="DMN18" s="15"/>
      <c r="DMS18" s="15"/>
      <c r="DMX18" s="15"/>
      <c r="DNC18" s="15"/>
      <c r="DNH18" s="15"/>
      <c r="DNM18" s="15"/>
      <c r="DNR18" s="15"/>
      <c r="DNW18" s="15"/>
      <c r="DOB18" s="15"/>
      <c r="DOG18" s="15"/>
      <c r="DOL18" s="15"/>
      <c r="DOQ18" s="15"/>
      <c r="DOV18" s="15"/>
      <c r="DPA18" s="15"/>
      <c r="DPF18" s="15"/>
      <c r="DPK18" s="15"/>
      <c r="DPP18" s="15"/>
      <c r="DPU18" s="15"/>
      <c r="DPZ18" s="15"/>
      <c r="DQE18" s="15"/>
      <c r="DQJ18" s="15"/>
      <c r="DQO18" s="15"/>
      <c r="DQT18" s="15"/>
      <c r="DQY18" s="15"/>
      <c r="DRD18" s="15"/>
      <c r="DRI18" s="15"/>
      <c r="DRN18" s="15"/>
      <c r="DRS18" s="15"/>
      <c r="DRX18" s="15"/>
      <c r="DSC18" s="15"/>
      <c r="DSH18" s="15"/>
      <c r="DSM18" s="15"/>
      <c r="DSR18" s="15"/>
      <c r="DSW18" s="15"/>
      <c r="DTB18" s="15"/>
      <c r="DTG18" s="15"/>
      <c r="DTL18" s="15"/>
      <c r="DTQ18" s="15"/>
      <c r="DTV18" s="15"/>
      <c r="DUA18" s="15"/>
      <c r="DUF18" s="15"/>
      <c r="DUK18" s="15"/>
      <c r="DUP18" s="15"/>
      <c r="DUU18" s="15"/>
      <c r="DUZ18" s="15"/>
      <c r="DVE18" s="15"/>
      <c r="DVJ18" s="15"/>
      <c r="DVO18" s="15"/>
      <c r="DVT18" s="15"/>
      <c r="DVY18" s="15"/>
      <c r="DWD18" s="15"/>
      <c r="DWI18" s="15"/>
      <c r="DWN18" s="15"/>
      <c r="DWS18" s="15"/>
      <c r="DWX18" s="15"/>
      <c r="DXC18" s="15"/>
      <c r="DXH18" s="15"/>
      <c r="DXM18" s="15"/>
      <c r="DXR18" s="15"/>
      <c r="DXW18" s="15"/>
      <c r="DYB18" s="15"/>
      <c r="DYG18" s="15"/>
      <c r="DYL18" s="15"/>
      <c r="DYQ18" s="15"/>
      <c r="DYV18" s="15"/>
      <c r="DZA18" s="15"/>
      <c r="DZF18" s="15"/>
      <c r="DZK18" s="15"/>
      <c r="DZP18" s="15"/>
      <c r="DZU18" s="15"/>
      <c r="DZZ18" s="15"/>
      <c r="EAE18" s="15"/>
      <c r="EAJ18" s="15"/>
      <c r="EAO18" s="15"/>
      <c r="EAT18" s="15"/>
      <c r="EAY18" s="15"/>
      <c r="EBD18" s="15"/>
      <c r="EBI18" s="15"/>
      <c r="EBN18" s="15"/>
      <c r="EBS18" s="15"/>
      <c r="EBX18" s="15"/>
      <c r="ECC18" s="15"/>
      <c r="ECH18" s="15"/>
      <c r="ECM18" s="15"/>
      <c r="ECR18" s="15"/>
      <c r="ECW18" s="15"/>
      <c r="EDB18" s="15"/>
      <c r="EDG18" s="15"/>
      <c r="EDL18" s="15"/>
      <c r="EDQ18" s="15"/>
      <c r="EDV18" s="15"/>
      <c r="EEA18" s="15"/>
      <c r="EEF18" s="15"/>
      <c r="EEK18" s="15"/>
      <c r="EEP18" s="15"/>
      <c r="EEU18" s="15"/>
      <c r="EEZ18" s="15"/>
      <c r="EFE18" s="15"/>
      <c r="EFJ18" s="15"/>
      <c r="EFO18" s="15"/>
      <c r="EFT18" s="15"/>
      <c r="EFY18" s="15"/>
      <c r="EGD18" s="15"/>
      <c r="EGI18" s="15"/>
      <c r="EGN18" s="15"/>
      <c r="EGS18" s="15"/>
      <c r="EGX18" s="15"/>
      <c r="EHC18" s="15"/>
      <c r="EHH18" s="15"/>
      <c r="EHM18" s="15"/>
      <c r="EHR18" s="15"/>
      <c r="EHW18" s="15"/>
      <c r="EIB18" s="15"/>
      <c r="EIG18" s="15"/>
      <c r="EIL18" s="15"/>
      <c r="EIQ18" s="15"/>
      <c r="EIV18" s="15"/>
      <c r="EJA18" s="15"/>
      <c r="EJF18" s="15"/>
      <c r="EJK18" s="15"/>
      <c r="EJP18" s="15"/>
      <c r="EJU18" s="15"/>
      <c r="EJZ18" s="15"/>
      <c r="EKE18" s="15"/>
      <c r="EKJ18" s="15"/>
      <c r="EKO18" s="15"/>
      <c r="EKT18" s="15"/>
      <c r="EKY18" s="15"/>
      <c r="ELD18" s="15"/>
      <c r="ELI18" s="15"/>
      <c r="ELN18" s="15"/>
      <c r="ELS18" s="15"/>
      <c r="ELX18" s="15"/>
      <c r="EMC18" s="15"/>
      <c r="EMH18" s="15"/>
      <c r="EMM18" s="15"/>
      <c r="EMR18" s="15"/>
      <c r="EMW18" s="15"/>
      <c r="ENB18" s="15"/>
      <c r="ENG18" s="15"/>
      <c r="ENL18" s="15"/>
      <c r="ENQ18" s="15"/>
      <c r="ENV18" s="15"/>
      <c r="EOA18" s="15"/>
      <c r="EOF18" s="15"/>
      <c r="EOK18" s="15"/>
      <c r="EOP18" s="15"/>
      <c r="EOU18" s="15"/>
      <c r="EOZ18" s="15"/>
      <c r="EPE18" s="15"/>
      <c r="EPJ18" s="15"/>
      <c r="EPO18" s="15"/>
      <c r="EPT18" s="15"/>
      <c r="EPY18" s="15"/>
      <c r="EQD18" s="15"/>
      <c r="EQI18" s="15"/>
      <c r="EQN18" s="15"/>
      <c r="EQS18" s="15"/>
      <c r="EQX18" s="15"/>
      <c r="ERC18" s="15"/>
      <c r="ERH18" s="15"/>
      <c r="ERM18" s="15"/>
      <c r="ERR18" s="15"/>
      <c r="ERW18" s="15"/>
      <c r="ESB18" s="15"/>
      <c r="ESG18" s="15"/>
      <c r="ESL18" s="15"/>
      <c r="ESQ18" s="15"/>
      <c r="ESV18" s="15"/>
      <c r="ETA18" s="15"/>
      <c r="ETF18" s="15"/>
      <c r="ETK18" s="15"/>
      <c r="ETP18" s="15"/>
      <c r="ETU18" s="15"/>
      <c r="ETZ18" s="15"/>
      <c r="EUE18" s="15"/>
      <c r="EUJ18" s="15"/>
      <c r="EUO18" s="15"/>
      <c r="EUT18" s="15"/>
      <c r="EUY18" s="15"/>
      <c r="EVD18" s="15"/>
      <c r="EVI18" s="15"/>
      <c r="EVN18" s="15"/>
      <c r="EVS18" s="15"/>
      <c r="EVX18" s="15"/>
      <c r="EWC18" s="15"/>
      <c r="EWH18" s="15"/>
      <c r="EWM18" s="15"/>
      <c r="EWR18" s="15"/>
      <c r="EWW18" s="15"/>
      <c r="EXB18" s="15"/>
      <c r="EXG18" s="15"/>
      <c r="EXL18" s="15"/>
      <c r="EXQ18" s="15"/>
      <c r="EXV18" s="15"/>
      <c r="EYA18" s="15"/>
      <c r="EYF18" s="15"/>
      <c r="EYK18" s="15"/>
      <c r="EYP18" s="15"/>
      <c r="EYU18" s="15"/>
      <c r="EYZ18" s="15"/>
      <c r="EZE18" s="15"/>
      <c r="EZJ18" s="15"/>
      <c r="EZO18" s="15"/>
      <c r="EZT18" s="15"/>
      <c r="EZY18" s="15"/>
      <c r="FAD18" s="15"/>
      <c r="FAI18" s="15"/>
      <c r="FAN18" s="15"/>
      <c r="FAS18" s="15"/>
      <c r="FAX18" s="15"/>
      <c r="FBC18" s="15"/>
      <c r="FBH18" s="15"/>
      <c r="FBM18" s="15"/>
      <c r="FBR18" s="15"/>
      <c r="FBW18" s="15"/>
      <c r="FCB18" s="15"/>
      <c r="FCG18" s="15"/>
      <c r="FCL18" s="15"/>
      <c r="FCQ18" s="15"/>
      <c r="FCV18" s="15"/>
      <c r="FDA18" s="15"/>
      <c r="FDF18" s="15"/>
      <c r="FDK18" s="15"/>
      <c r="FDP18" s="15"/>
      <c r="FDU18" s="15"/>
      <c r="FDZ18" s="15"/>
      <c r="FEE18" s="15"/>
      <c r="FEJ18" s="15"/>
      <c r="FEO18" s="15"/>
      <c r="FET18" s="15"/>
      <c r="FEY18" s="15"/>
      <c r="FFD18" s="15"/>
      <c r="FFI18" s="15"/>
      <c r="FFN18" s="15"/>
      <c r="FFS18" s="15"/>
      <c r="FFX18" s="15"/>
      <c r="FGC18" s="15"/>
      <c r="FGH18" s="15"/>
      <c r="FGM18" s="15"/>
      <c r="FGR18" s="15"/>
      <c r="FGW18" s="15"/>
      <c r="FHB18" s="15"/>
      <c r="FHG18" s="15"/>
      <c r="FHL18" s="15"/>
      <c r="FHQ18" s="15"/>
      <c r="FHV18" s="15"/>
      <c r="FIA18" s="15"/>
      <c r="FIF18" s="15"/>
      <c r="FIK18" s="15"/>
      <c r="FIP18" s="15"/>
      <c r="FIU18" s="15"/>
      <c r="FIZ18" s="15"/>
      <c r="FJE18" s="15"/>
      <c r="FJJ18" s="15"/>
      <c r="FJO18" s="15"/>
      <c r="FJT18" s="15"/>
      <c r="FJY18" s="15"/>
      <c r="FKD18" s="15"/>
      <c r="FKI18" s="15"/>
      <c r="FKN18" s="15"/>
      <c r="FKS18" s="15"/>
      <c r="FKX18" s="15"/>
      <c r="FLC18" s="15"/>
      <c r="FLH18" s="15"/>
      <c r="FLM18" s="15"/>
      <c r="FLR18" s="15"/>
      <c r="FLW18" s="15"/>
      <c r="FMB18" s="15"/>
      <c r="FMG18" s="15"/>
      <c r="FML18" s="15"/>
      <c r="FMQ18" s="15"/>
      <c r="FMV18" s="15"/>
      <c r="FNA18" s="15"/>
      <c r="FNF18" s="15"/>
      <c r="FNK18" s="15"/>
      <c r="FNP18" s="15"/>
      <c r="FNU18" s="15"/>
      <c r="FNZ18" s="15"/>
      <c r="FOE18" s="15"/>
      <c r="FOJ18" s="15"/>
      <c r="FOO18" s="15"/>
      <c r="FOT18" s="15"/>
      <c r="FOY18" s="15"/>
      <c r="FPD18" s="15"/>
      <c r="FPI18" s="15"/>
      <c r="FPN18" s="15"/>
      <c r="FPS18" s="15"/>
      <c r="FPX18" s="15"/>
      <c r="FQC18" s="15"/>
      <c r="FQH18" s="15"/>
      <c r="FQM18" s="15"/>
      <c r="FQR18" s="15"/>
      <c r="FQW18" s="15"/>
      <c r="FRB18" s="15"/>
      <c r="FRG18" s="15"/>
      <c r="FRL18" s="15"/>
      <c r="FRQ18" s="15"/>
      <c r="FRV18" s="15"/>
      <c r="FSA18" s="15"/>
      <c r="FSF18" s="15"/>
      <c r="FSK18" s="15"/>
      <c r="FSP18" s="15"/>
      <c r="FSU18" s="15"/>
      <c r="FSZ18" s="15"/>
      <c r="FTE18" s="15"/>
      <c r="FTJ18" s="15"/>
      <c r="FTO18" s="15"/>
      <c r="FTT18" s="15"/>
      <c r="FTY18" s="15"/>
      <c r="FUD18" s="15"/>
      <c r="FUI18" s="15"/>
      <c r="FUN18" s="15"/>
      <c r="FUS18" s="15"/>
      <c r="FUX18" s="15"/>
      <c r="FVC18" s="15"/>
      <c r="FVH18" s="15"/>
      <c r="FVM18" s="15"/>
      <c r="FVR18" s="15"/>
      <c r="FVW18" s="15"/>
      <c r="FWB18" s="15"/>
      <c r="FWG18" s="15"/>
      <c r="FWL18" s="15"/>
      <c r="FWQ18" s="15"/>
      <c r="FWV18" s="15"/>
      <c r="FXA18" s="15"/>
      <c r="FXF18" s="15"/>
      <c r="FXK18" s="15"/>
      <c r="FXP18" s="15"/>
      <c r="FXU18" s="15"/>
      <c r="FXZ18" s="15"/>
      <c r="FYE18" s="15"/>
      <c r="FYJ18" s="15"/>
      <c r="FYO18" s="15"/>
      <c r="FYT18" s="15"/>
      <c r="FYY18" s="15"/>
      <c r="FZD18" s="15"/>
      <c r="FZI18" s="15"/>
      <c r="FZN18" s="15"/>
      <c r="FZS18" s="15"/>
      <c r="FZX18" s="15"/>
      <c r="GAC18" s="15"/>
      <c r="GAH18" s="15"/>
      <c r="GAM18" s="15"/>
      <c r="GAR18" s="15"/>
      <c r="GAW18" s="15"/>
      <c r="GBB18" s="15"/>
      <c r="GBG18" s="15"/>
      <c r="GBL18" s="15"/>
      <c r="GBQ18" s="15"/>
      <c r="GBV18" s="15"/>
      <c r="GCA18" s="15"/>
      <c r="GCF18" s="15"/>
      <c r="GCK18" s="15"/>
      <c r="GCP18" s="15"/>
      <c r="GCU18" s="15"/>
      <c r="GCZ18" s="15"/>
      <c r="GDE18" s="15"/>
      <c r="GDJ18" s="15"/>
      <c r="GDO18" s="15"/>
      <c r="GDT18" s="15"/>
      <c r="GDY18" s="15"/>
      <c r="GED18" s="15"/>
      <c r="GEI18" s="15"/>
      <c r="GEN18" s="15"/>
      <c r="GES18" s="15"/>
      <c r="GEX18" s="15"/>
      <c r="GFC18" s="15"/>
      <c r="GFH18" s="15"/>
      <c r="GFM18" s="15"/>
      <c r="GFR18" s="15"/>
      <c r="GFW18" s="15"/>
      <c r="GGB18" s="15"/>
      <c r="GGG18" s="15"/>
      <c r="GGL18" s="15"/>
      <c r="GGQ18" s="15"/>
      <c r="GGV18" s="15"/>
      <c r="GHA18" s="15"/>
      <c r="GHF18" s="15"/>
      <c r="GHK18" s="15"/>
      <c r="GHP18" s="15"/>
      <c r="GHU18" s="15"/>
      <c r="GHZ18" s="15"/>
      <c r="GIE18" s="15"/>
      <c r="GIJ18" s="15"/>
      <c r="GIO18" s="15"/>
      <c r="GIT18" s="15"/>
      <c r="GIY18" s="15"/>
      <c r="GJD18" s="15"/>
      <c r="GJI18" s="15"/>
      <c r="GJN18" s="15"/>
      <c r="GJS18" s="15"/>
      <c r="GJX18" s="15"/>
      <c r="GKC18" s="15"/>
      <c r="GKH18" s="15"/>
      <c r="GKM18" s="15"/>
      <c r="GKR18" s="15"/>
      <c r="GKW18" s="15"/>
      <c r="GLB18" s="15"/>
      <c r="GLG18" s="15"/>
      <c r="GLL18" s="15"/>
      <c r="GLQ18" s="15"/>
      <c r="GLV18" s="15"/>
      <c r="GMA18" s="15"/>
      <c r="GMF18" s="15"/>
      <c r="GMK18" s="15"/>
      <c r="GMP18" s="15"/>
      <c r="GMU18" s="15"/>
      <c r="GMZ18" s="15"/>
      <c r="GNE18" s="15"/>
      <c r="GNJ18" s="15"/>
      <c r="GNO18" s="15"/>
      <c r="GNT18" s="15"/>
      <c r="GNY18" s="15"/>
      <c r="GOD18" s="15"/>
      <c r="GOI18" s="15"/>
      <c r="GON18" s="15"/>
      <c r="GOS18" s="15"/>
      <c r="GOX18" s="15"/>
      <c r="GPC18" s="15"/>
      <c r="GPH18" s="15"/>
      <c r="GPM18" s="15"/>
      <c r="GPR18" s="15"/>
      <c r="GPW18" s="15"/>
      <c r="GQB18" s="15"/>
      <c r="GQG18" s="15"/>
      <c r="GQL18" s="15"/>
      <c r="GQQ18" s="15"/>
      <c r="GQV18" s="15"/>
      <c r="GRA18" s="15"/>
      <c r="GRF18" s="15"/>
      <c r="GRK18" s="15"/>
      <c r="GRP18" s="15"/>
      <c r="GRU18" s="15"/>
      <c r="GRZ18" s="15"/>
      <c r="GSE18" s="15"/>
      <c r="GSJ18" s="15"/>
      <c r="GSO18" s="15"/>
      <c r="GST18" s="15"/>
      <c r="GSY18" s="15"/>
      <c r="GTD18" s="15"/>
      <c r="GTI18" s="15"/>
      <c r="GTN18" s="15"/>
      <c r="GTS18" s="15"/>
      <c r="GTX18" s="15"/>
      <c r="GUC18" s="15"/>
      <c r="GUH18" s="15"/>
      <c r="GUM18" s="15"/>
      <c r="GUR18" s="15"/>
      <c r="GUW18" s="15"/>
      <c r="GVB18" s="15"/>
      <c r="GVG18" s="15"/>
      <c r="GVL18" s="15"/>
      <c r="GVQ18" s="15"/>
      <c r="GVV18" s="15"/>
      <c r="GWA18" s="15"/>
      <c r="GWF18" s="15"/>
      <c r="GWK18" s="15"/>
      <c r="GWP18" s="15"/>
      <c r="GWU18" s="15"/>
      <c r="GWZ18" s="15"/>
      <c r="GXE18" s="15"/>
      <c r="GXJ18" s="15"/>
      <c r="GXO18" s="15"/>
      <c r="GXT18" s="15"/>
      <c r="GXY18" s="15"/>
      <c r="GYD18" s="15"/>
      <c r="GYI18" s="15"/>
      <c r="GYN18" s="15"/>
      <c r="GYS18" s="15"/>
      <c r="GYX18" s="15"/>
      <c r="GZC18" s="15"/>
      <c r="GZH18" s="15"/>
      <c r="GZM18" s="15"/>
      <c r="GZR18" s="15"/>
      <c r="GZW18" s="15"/>
      <c r="HAB18" s="15"/>
      <c r="HAG18" s="15"/>
      <c r="HAL18" s="15"/>
      <c r="HAQ18" s="15"/>
      <c r="HAV18" s="15"/>
      <c r="HBA18" s="15"/>
      <c r="HBF18" s="15"/>
      <c r="HBK18" s="15"/>
      <c r="HBP18" s="15"/>
      <c r="HBU18" s="15"/>
      <c r="HBZ18" s="15"/>
      <c r="HCE18" s="15"/>
      <c r="HCJ18" s="15"/>
      <c r="HCO18" s="15"/>
      <c r="HCT18" s="15"/>
      <c r="HCY18" s="15"/>
      <c r="HDD18" s="15"/>
      <c r="HDI18" s="15"/>
      <c r="HDN18" s="15"/>
      <c r="HDS18" s="15"/>
      <c r="HDX18" s="15"/>
      <c r="HEC18" s="15"/>
      <c r="HEH18" s="15"/>
      <c r="HEM18" s="15"/>
      <c r="HER18" s="15"/>
      <c r="HEW18" s="15"/>
      <c r="HFB18" s="15"/>
      <c r="HFG18" s="15"/>
      <c r="HFL18" s="15"/>
      <c r="HFQ18" s="15"/>
      <c r="HFV18" s="15"/>
      <c r="HGA18" s="15"/>
      <c r="HGF18" s="15"/>
      <c r="HGK18" s="15"/>
      <c r="HGP18" s="15"/>
      <c r="HGU18" s="15"/>
      <c r="HGZ18" s="15"/>
      <c r="HHE18" s="15"/>
      <c r="HHJ18" s="15"/>
      <c r="HHO18" s="15"/>
      <c r="HHT18" s="15"/>
      <c r="HHY18" s="15"/>
      <c r="HID18" s="15"/>
      <c r="HII18" s="15"/>
      <c r="HIN18" s="15"/>
      <c r="HIS18" s="15"/>
      <c r="HIX18" s="15"/>
      <c r="HJC18" s="15"/>
      <c r="HJH18" s="15"/>
      <c r="HJM18" s="15"/>
      <c r="HJR18" s="15"/>
      <c r="HJW18" s="15"/>
      <c r="HKB18" s="15"/>
      <c r="HKG18" s="15"/>
      <c r="HKL18" s="15"/>
      <c r="HKQ18" s="15"/>
      <c r="HKV18" s="15"/>
      <c r="HLA18" s="15"/>
      <c r="HLF18" s="15"/>
      <c r="HLK18" s="15"/>
      <c r="HLP18" s="15"/>
      <c r="HLU18" s="15"/>
      <c r="HLZ18" s="15"/>
      <c r="HME18" s="15"/>
      <c r="HMJ18" s="15"/>
      <c r="HMO18" s="15"/>
      <c r="HMT18" s="15"/>
      <c r="HMY18" s="15"/>
      <c r="HND18" s="15"/>
      <c r="HNI18" s="15"/>
      <c r="HNN18" s="15"/>
      <c r="HNS18" s="15"/>
      <c r="HNX18" s="15"/>
      <c r="HOC18" s="15"/>
      <c r="HOH18" s="15"/>
      <c r="HOM18" s="15"/>
      <c r="HOR18" s="15"/>
      <c r="HOW18" s="15"/>
      <c r="HPB18" s="15"/>
      <c r="HPG18" s="15"/>
      <c r="HPL18" s="15"/>
      <c r="HPQ18" s="15"/>
      <c r="HPV18" s="15"/>
      <c r="HQA18" s="15"/>
      <c r="HQF18" s="15"/>
      <c r="HQK18" s="15"/>
      <c r="HQP18" s="15"/>
      <c r="HQU18" s="15"/>
      <c r="HQZ18" s="15"/>
      <c r="HRE18" s="15"/>
      <c r="HRJ18" s="15"/>
      <c r="HRO18" s="15"/>
      <c r="HRT18" s="15"/>
      <c r="HRY18" s="15"/>
      <c r="HSD18" s="15"/>
      <c r="HSI18" s="15"/>
      <c r="HSN18" s="15"/>
      <c r="HSS18" s="15"/>
      <c r="HSX18" s="15"/>
      <c r="HTC18" s="15"/>
      <c r="HTH18" s="15"/>
      <c r="HTM18" s="15"/>
      <c r="HTR18" s="15"/>
      <c r="HTW18" s="15"/>
      <c r="HUB18" s="15"/>
      <c r="HUG18" s="15"/>
      <c r="HUL18" s="15"/>
      <c r="HUQ18" s="15"/>
      <c r="HUV18" s="15"/>
      <c r="HVA18" s="15"/>
      <c r="HVF18" s="15"/>
      <c r="HVK18" s="15"/>
      <c r="HVP18" s="15"/>
      <c r="HVU18" s="15"/>
      <c r="HVZ18" s="15"/>
      <c r="HWE18" s="15"/>
      <c r="HWJ18" s="15"/>
      <c r="HWO18" s="15"/>
      <c r="HWT18" s="15"/>
      <c r="HWY18" s="15"/>
      <c r="HXD18" s="15"/>
      <c r="HXI18" s="15"/>
      <c r="HXN18" s="15"/>
      <c r="HXS18" s="15"/>
      <c r="HXX18" s="15"/>
      <c r="HYC18" s="15"/>
      <c r="HYH18" s="15"/>
      <c r="HYM18" s="15"/>
      <c r="HYR18" s="15"/>
      <c r="HYW18" s="15"/>
      <c r="HZB18" s="15"/>
      <c r="HZG18" s="15"/>
      <c r="HZL18" s="15"/>
      <c r="HZQ18" s="15"/>
      <c r="HZV18" s="15"/>
      <c r="IAA18" s="15"/>
      <c r="IAF18" s="15"/>
      <c r="IAK18" s="15"/>
      <c r="IAP18" s="15"/>
      <c r="IAU18" s="15"/>
      <c r="IAZ18" s="15"/>
      <c r="IBE18" s="15"/>
      <c r="IBJ18" s="15"/>
      <c r="IBO18" s="15"/>
      <c r="IBT18" s="15"/>
      <c r="IBY18" s="15"/>
      <c r="ICD18" s="15"/>
      <c r="ICI18" s="15"/>
      <c r="ICN18" s="15"/>
      <c r="ICS18" s="15"/>
      <c r="ICX18" s="15"/>
      <c r="IDC18" s="15"/>
      <c r="IDH18" s="15"/>
      <c r="IDM18" s="15"/>
      <c r="IDR18" s="15"/>
      <c r="IDW18" s="15"/>
      <c r="IEB18" s="15"/>
      <c r="IEG18" s="15"/>
      <c r="IEL18" s="15"/>
      <c r="IEQ18" s="15"/>
      <c r="IEV18" s="15"/>
      <c r="IFA18" s="15"/>
      <c r="IFF18" s="15"/>
      <c r="IFK18" s="15"/>
      <c r="IFP18" s="15"/>
      <c r="IFU18" s="15"/>
      <c r="IFZ18" s="15"/>
      <c r="IGE18" s="15"/>
      <c r="IGJ18" s="15"/>
      <c r="IGO18" s="15"/>
      <c r="IGT18" s="15"/>
      <c r="IGY18" s="15"/>
      <c r="IHD18" s="15"/>
      <c r="IHI18" s="15"/>
      <c r="IHN18" s="15"/>
      <c r="IHS18" s="15"/>
      <c r="IHX18" s="15"/>
      <c r="IIC18" s="15"/>
      <c r="IIH18" s="15"/>
      <c r="IIM18" s="15"/>
      <c r="IIR18" s="15"/>
      <c r="IIW18" s="15"/>
      <c r="IJB18" s="15"/>
      <c r="IJG18" s="15"/>
      <c r="IJL18" s="15"/>
      <c r="IJQ18" s="15"/>
      <c r="IJV18" s="15"/>
      <c r="IKA18" s="15"/>
      <c r="IKF18" s="15"/>
      <c r="IKK18" s="15"/>
      <c r="IKP18" s="15"/>
      <c r="IKU18" s="15"/>
      <c r="IKZ18" s="15"/>
      <c r="ILE18" s="15"/>
      <c r="ILJ18" s="15"/>
      <c r="ILO18" s="15"/>
      <c r="ILT18" s="15"/>
      <c r="ILY18" s="15"/>
      <c r="IMD18" s="15"/>
      <c r="IMI18" s="15"/>
      <c r="IMN18" s="15"/>
      <c r="IMS18" s="15"/>
      <c r="IMX18" s="15"/>
      <c r="INC18" s="15"/>
      <c r="INH18" s="15"/>
      <c r="INM18" s="15"/>
      <c r="INR18" s="15"/>
      <c r="INW18" s="15"/>
      <c r="IOB18" s="15"/>
      <c r="IOG18" s="15"/>
      <c r="IOL18" s="15"/>
      <c r="IOQ18" s="15"/>
      <c r="IOV18" s="15"/>
      <c r="IPA18" s="15"/>
      <c r="IPF18" s="15"/>
      <c r="IPK18" s="15"/>
      <c r="IPP18" s="15"/>
      <c r="IPU18" s="15"/>
      <c r="IPZ18" s="15"/>
      <c r="IQE18" s="15"/>
      <c r="IQJ18" s="15"/>
      <c r="IQO18" s="15"/>
      <c r="IQT18" s="15"/>
      <c r="IQY18" s="15"/>
      <c r="IRD18" s="15"/>
      <c r="IRI18" s="15"/>
      <c r="IRN18" s="15"/>
      <c r="IRS18" s="15"/>
      <c r="IRX18" s="15"/>
      <c r="ISC18" s="15"/>
      <c r="ISH18" s="15"/>
      <c r="ISM18" s="15"/>
      <c r="ISR18" s="15"/>
      <c r="ISW18" s="15"/>
      <c r="ITB18" s="15"/>
      <c r="ITG18" s="15"/>
      <c r="ITL18" s="15"/>
      <c r="ITQ18" s="15"/>
      <c r="ITV18" s="15"/>
      <c r="IUA18" s="15"/>
      <c r="IUF18" s="15"/>
      <c r="IUK18" s="15"/>
      <c r="IUP18" s="15"/>
      <c r="IUU18" s="15"/>
      <c r="IUZ18" s="15"/>
      <c r="IVE18" s="15"/>
      <c r="IVJ18" s="15"/>
      <c r="IVO18" s="15"/>
      <c r="IVT18" s="15"/>
      <c r="IVY18" s="15"/>
      <c r="IWD18" s="15"/>
      <c r="IWI18" s="15"/>
      <c r="IWN18" s="15"/>
      <c r="IWS18" s="15"/>
      <c r="IWX18" s="15"/>
      <c r="IXC18" s="15"/>
      <c r="IXH18" s="15"/>
      <c r="IXM18" s="15"/>
      <c r="IXR18" s="15"/>
      <c r="IXW18" s="15"/>
      <c r="IYB18" s="15"/>
      <c r="IYG18" s="15"/>
      <c r="IYL18" s="15"/>
      <c r="IYQ18" s="15"/>
      <c r="IYV18" s="15"/>
      <c r="IZA18" s="15"/>
      <c r="IZF18" s="15"/>
      <c r="IZK18" s="15"/>
      <c r="IZP18" s="15"/>
      <c r="IZU18" s="15"/>
      <c r="IZZ18" s="15"/>
      <c r="JAE18" s="15"/>
      <c r="JAJ18" s="15"/>
      <c r="JAO18" s="15"/>
      <c r="JAT18" s="15"/>
      <c r="JAY18" s="15"/>
      <c r="JBD18" s="15"/>
      <c r="JBI18" s="15"/>
      <c r="JBN18" s="15"/>
      <c r="JBS18" s="15"/>
      <c r="JBX18" s="15"/>
      <c r="JCC18" s="15"/>
      <c r="JCH18" s="15"/>
      <c r="JCM18" s="15"/>
      <c r="JCR18" s="15"/>
      <c r="JCW18" s="15"/>
      <c r="JDB18" s="15"/>
      <c r="JDG18" s="15"/>
      <c r="JDL18" s="15"/>
      <c r="JDQ18" s="15"/>
      <c r="JDV18" s="15"/>
      <c r="JEA18" s="15"/>
      <c r="JEF18" s="15"/>
      <c r="JEK18" s="15"/>
      <c r="JEP18" s="15"/>
      <c r="JEU18" s="15"/>
      <c r="JEZ18" s="15"/>
      <c r="JFE18" s="15"/>
      <c r="JFJ18" s="15"/>
      <c r="JFO18" s="15"/>
      <c r="JFT18" s="15"/>
      <c r="JFY18" s="15"/>
      <c r="JGD18" s="15"/>
      <c r="JGI18" s="15"/>
      <c r="JGN18" s="15"/>
      <c r="JGS18" s="15"/>
      <c r="JGX18" s="15"/>
      <c r="JHC18" s="15"/>
      <c r="JHH18" s="15"/>
      <c r="JHM18" s="15"/>
      <c r="JHR18" s="15"/>
      <c r="JHW18" s="15"/>
      <c r="JIB18" s="15"/>
      <c r="JIG18" s="15"/>
      <c r="JIL18" s="15"/>
      <c r="JIQ18" s="15"/>
      <c r="JIV18" s="15"/>
      <c r="JJA18" s="15"/>
      <c r="JJF18" s="15"/>
      <c r="JJK18" s="15"/>
      <c r="JJP18" s="15"/>
      <c r="JJU18" s="15"/>
      <c r="JJZ18" s="15"/>
      <c r="JKE18" s="15"/>
      <c r="JKJ18" s="15"/>
      <c r="JKO18" s="15"/>
      <c r="JKT18" s="15"/>
      <c r="JKY18" s="15"/>
      <c r="JLD18" s="15"/>
      <c r="JLI18" s="15"/>
      <c r="JLN18" s="15"/>
      <c r="JLS18" s="15"/>
      <c r="JLX18" s="15"/>
      <c r="JMC18" s="15"/>
      <c r="JMH18" s="15"/>
      <c r="JMM18" s="15"/>
      <c r="JMR18" s="15"/>
      <c r="JMW18" s="15"/>
      <c r="JNB18" s="15"/>
      <c r="JNG18" s="15"/>
      <c r="JNL18" s="15"/>
      <c r="JNQ18" s="15"/>
      <c r="JNV18" s="15"/>
      <c r="JOA18" s="15"/>
      <c r="JOF18" s="15"/>
      <c r="JOK18" s="15"/>
      <c r="JOP18" s="15"/>
      <c r="JOU18" s="15"/>
      <c r="JOZ18" s="15"/>
      <c r="JPE18" s="15"/>
      <c r="JPJ18" s="15"/>
      <c r="JPO18" s="15"/>
      <c r="JPT18" s="15"/>
      <c r="JPY18" s="15"/>
      <c r="JQD18" s="15"/>
      <c r="JQI18" s="15"/>
      <c r="JQN18" s="15"/>
      <c r="JQS18" s="15"/>
      <c r="JQX18" s="15"/>
      <c r="JRC18" s="15"/>
      <c r="JRH18" s="15"/>
      <c r="JRM18" s="15"/>
      <c r="JRR18" s="15"/>
      <c r="JRW18" s="15"/>
      <c r="JSB18" s="15"/>
      <c r="JSG18" s="15"/>
      <c r="JSL18" s="15"/>
      <c r="JSQ18" s="15"/>
      <c r="JSV18" s="15"/>
      <c r="JTA18" s="15"/>
      <c r="JTF18" s="15"/>
      <c r="JTK18" s="15"/>
      <c r="JTP18" s="15"/>
      <c r="JTU18" s="15"/>
      <c r="JTZ18" s="15"/>
      <c r="JUE18" s="15"/>
      <c r="JUJ18" s="15"/>
      <c r="JUO18" s="15"/>
      <c r="JUT18" s="15"/>
      <c r="JUY18" s="15"/>
      <c r="JVD18" s="15"/>
      <c r="JVI18" s="15"/>
      <c r="JVN18" s="15"/>
      <c r="JVS18" s="15"/>
      <c r="JVX18" s="15"/>
      <c r="JWC18" s="15"/>
      <c r="JWH18" s="15"/>
      <c r="JWM18" s="15"/>
      <c r="JWR18" s="15"/>
      <c r="JWW18" s="15"/>
      <c r="JXB18" s="15"/>
      <c r="JXG18" s="15"/>
      <c r="JXL18" s="15"/>
      <c r="JXQ18" s="15"/>
      <c r="JXV18" s="15"/>
      <c r="JYA18" s="15"/>
      <c r="JYF18" s="15"/>
      <c r="JYK18" s="15"/>
      <c r="JYP18" s="15"/>
      <c r="JYU18" s="15"/>
      <c r="JYZ18" s="15"/>
      <c r="JZE18" s="15"/>
      <c r="JZJ18" s="15"/>
      <c r="JZO18" s="15"/>
      <c r="JZT18" s="15"/>
      <c r="JZY18" s="15"/>
      <c r="KAD18" s="15"/>
      <c r="KAI18" s="15"/>
      <c r="KAN18" s="15"/>
      <c r="KAS18" s="15"/>
      <c r="KAX18" s="15"/>
      <c r="KBC18" s="15"/>
      <c r="KBH18" s="15"/>
      <c r="KBM18" s="15"/>
      <c r="KBR18" s="15"/>
      <c r="KBW18" s="15"/>
      <c r="KCB18" s="15"/>
      <c r="KCG18" s="15"/>
      <c r="KCL18" s="15"/>
      <c r="KCQ18" s="15"/>
      <c r="KCV18" s="15"/>
      <c r="KDA18" s="15"/>
      <c r="KDF18" s="15"/>
      <c r="KDK18" s="15"/>
      <c r="KDP18" s="15"/>
      <c r="KDU18" s="15"/>
      <c r="KDZ18" s="15"/>
      <c r="KEE18" s="15"/>
      <c r="KEJ18" s="15"/>
      <c r="KEO18" s="15"/>
      <c r="KET18" s="15"/>
      <c r="KEY18" s="15"/>
      <c r="KFD18" s="15"/>
      <c r="KFI18" s="15"/>
      <c r="KFN18" s="15"/>
      <c r="KFS18" s="15"/>
      <c r="KFX18" s="15"/>
      <c r="KGC18" s="15"/>
      <c r="KGH18" s="15"/>
      <c r="KGM18" s="15"/>
      <c r="KGR18" s="15"/>
      <c r="KGW18" s="15"/>
      <c r="KHB18" s="15"/>
      <c r="KHG18" s="15"/>
      <c r="KHL18" s="15"/>
      <c r="KHQ18" s="15"/>
      <c r="KHV18" s="15"/>
      <c r="KIA18" s="15"/>
      <c r="KIF18" s="15"/>
      <c r="KIK18" s="15"/>
      <c r="KIP18" s="15"/>
      <c r="KIU18" s="15"/>
      <c r="KIZ18" s="15"/>
      <c r="KJE18" s="15"/>
      <c r="KJJ18" s="15"/>
      <c r="KJO18" s="15"/>
      <c r="KJT18" s="15"/>
      <c r="KJY18" s="15"/>
      <c r="KKD18" s="15"/>
      <c r="KKI18" s="15"/>
      <c r="KKN18" s="15"/>
      <c r="KKS18" s="15"/>
      <c r="KKX18" s="15"/>
      <c r="KLC18" s="15"/>
      <c r="KLH18" s="15"/>
      <c r="KLM18" s="15"/>
      <c r="KLR18" s="15"/>
      <c r="KLW18" s="15"/>
      <c r="KMB18" s="15"/>
      <c r="KMG18" s="15"/>
      <c r="KML18" s="15"/>
      <c r="KMQ18" s="15"/>
      <c r="KMV18" s="15"/>
      <c r="KNA18" s="15"/>
      <c r="KNF18" s="15"/>
      <c r="KNK18" s="15"/>
      <c r="KNP18" s="15"/>
      <c r="KNU18" s="15"/>
      <c r="KNZ18" s="15"/>
      <c r="KOE18" s="15"/>
      <c r="KOJ18" s="15"/>
      <c r="KOO18" s="15"/>
      <c r="KOT18" s="15"/>
      <c r="KOY18" s="15"/>
      <c r="KPD18" s="15"/>
      <c r="KPI18" s="15"/>
      <c r="KPN18" s="15"/>
      <c r="KPS18" s="15"/>
      <c r="KPX18" s="15"/>
      <c r="KQC18" s="15"/>
      <c r="KQH18" s="15"/>
      <c r="KQM18" s="15"/>
      <c r="KQR18" s="15"/>
      <c r="KQW18" s="15"/>
      <c r="KRB18" s="15"/>
      <c r="KRG18" s="15"/>
      <c r="KRL18" s="15"/>
      <c r="KRQ18" s="15"/>
      <c r="KRV18" s="15"/>
      <c r="KSA18" s="15"/>
      <c r="KSF18" s="15"/>
      <c r="KSK18" s="15"/>
      <c r="KSP18" s="15"/>
      <c r="KSU18" s="15"/>
      <c r="KSZ18" s="15"/>
      <c r="KTE18" s="15"/>
      <c r="KTJ18" s="15"/>
      <c r="KTO18" s="15"/>
      <c r="KTT18" s="15"/>
      <c r="KTY18" s="15"/>
      <c r="KUD18" s="15"/>
      <c r="KUI18" s="15"/>
      <c r="KUN18" s="15"/>
      <c r="KUS18" s="15"/>
      <c r="KUX18" s="15"/>
      <c r="KVC18" s="15"/>
      <c r="KVH18" s="15"/>
      <c r="KVM18" s="15"/>
      <c r="KVR18" s="15"/>
      <c r="KVW18" s="15"/>
      <c r="KWB18" s="15"/>
      <c r="KWG18" s="15"/>
      <c r="KWL18" s="15"/>
      <c r="KWQ18" s="15"/>
      <c r="KWV18" s="15"/>
      <c r="KXA18" s="15"/>
      <c r="KXF18" s="15"/>
      <c r="KXK18" s="15"/>
      <c r="KXP18" s="15"/>
      <c r="KXU18" s="15"/>
      <c r="KXZ18" s="15"/>
      <c r="KYE18" s="15"/>
      <c r="KYJ18" s="15"/>
      <c r="KYO18" s="15"/>
      <c r="KYT18" s="15"/>
      <c r="KYY18" s="15"/>
      <c r="KZD18" s="15"/>
      <c r="KZI18" s="15"/>
      <c r="KZN18" s="15"/>
      <c r="KZS18" s="15"/>
      <c r="KZX18" s="15"/>
      <c r="LAC18" s="15"/>
      <c r="LAH18" s="15"/>
      <c r="LAM18" s="15"/>
      <c r="LAR18" s="15"/>
      <c r="LAW18" s="15"/>
      <c r="LBB18" s="15"/>
      <c r="LBG18" s="15"/>
      <c r="LBL18" s="15"/>
      <c r="LBQ18" s="15"/>
      <c r="LBV18" s="15"/>
      <c r="LCA18" s="15"/>
      <c r="LCF18" s="15"/>
      <c r="LCK18" s="15"/>
      <c r="LCP18" s="15"/>
      <c r="LCU18" s="15"/>
      <c r="LCZ18" s="15"/>
      <c r="LDE18" s="15"/>
      <c r="LDJ18" s="15"/>
      <c r="LDO18" s="15"/>
      <c r="LDT18" s="15"/>
      <c r="LDY18" s="15"/>
      <c r="LED18" s="15"/>
      <c r="LEI18" s="15"/>
      <c r="LEN18" s="15"/>
      <c r="LES18" s="15"/>
      <c r="LEX18" s="15"/>
      <c r="LFC18" s="15"/>
      <c r="LFH18" s="15"/>
      <c r="LFM18" s="15"/>
      <c r="LFR18" s="15"/>
      <c r="LFW18" s="15"/>
      <c r="LGB18" s="15"/>
      <c r="LGG18" s="15"/>
      <c r="LGL18" s="15"/>
      <c r="LGQ18" s="15"/>
      <c r="LGV18" s="15"/>
      <c r="LHA18" s="15"/>
      <c r="LHF18" s="15"/>
      <c r="LHK18" s="15"/>
      <c r="LHP18" s="15"/>
      <c r="LHU18" s="15"/>
      <c r="LHZ18" s="15"/>
      <c r="LIE18" s="15"/>
      <c r="LIJ18" s="15"/>
      <c r="LIO18" s="15"/>
      <c r="LIT18" s="15"/>
      <c r="LIY18" s="15"/>
      <c r="LJD18" s="15"/>
      <c r="LJI18" s="15"/>
      <c r="LJN18" s="15"/>
      <c r="LJS18" s="15"/>
      <c r="LJX18" s="15"/>
      <c r="LKC18" s="15"/>
      <c r="LKH18" s="15"/>
      <c r="LKM18" s="15"/>
      <c r="LKR18" s="15"/>
      <c r="LKW18" s="15"/>
      <c r="LLB18" s="15"/>
      <c r="LLG18" s="15"/>
      <c r="LLL18" s="15"/>
      <c r="LLQ18" s="15"/>
      <c r="LLV18" s="15"/>
      <c r="LMA18" s="15"/>
      <c r="LMF18" s="15"/>
      <c r="LMK18" s="15"/>
      <c r="LMP18" s="15"/>
      <c r="LMU18" s="15"/>
      <c r="LMZ18" s="15"/>
      <c r="LNE18" s="15"/>
      <c r="LNJ18" s="15"/>
      <c r="LNO18" s="15"/>
      <c r="LNT18" s="15"/>
      <c r="LNY18" s="15"/>
      <c r="LOD18" s="15"/>
      <c r="LOI18" s="15"/>
      <c r="LON18" s="15"/>
      <c r="LOS18" s="15"/>
      <c r="LOX18" s="15"/>
      <c r="LPC18" s="15"/>
      <c r="LPH18" s="15"/>
      <c r="LPM18" s="15"/>
      <c r="LPR18" s="15"/>
      <c r="LPW18" s="15"/>
      <c r="LQB18" s="15"/>
      <c r="LQG18" s="15"/>
      <c r="LQL18" s="15"/>
      <c r="LQQ18" s="15"/>
      <c r="LQV18" s="15"/>
      <c r="LRA18" s="15"/>
      <c r="LRF18" s="15"/>
      <c r="LRK18" s="15"/>
      <c r="LRP18" s="15"/>
      <c r="LRU18" s="15"/>
      <c r="LRZ18" s="15"/>
      <c r="LSE18" s="15"/>
      <c r="LSJ18" s="15"/>
      <c r="LSO18" s="15"/>
      <c r="LST18" s="15"/>
      <c r="LSY18" s="15"/>
      <c r="LTD18" s="15"/>
      <c r="LTI18" s="15"/>
      <c r="LTN18" s="15"/>
      <c r="LTS18" s="15"/>
      <c r="LTX18" s="15"/>
      <c r="LUC18" s="15"/>
      <c r="LUH18" s="15"/>
      <c r="LUM18" s="15"/>
      <c r="LUR18" s="15"/>
      <c r="LUW18" s="15"/>
      <c r="LVB18" s="15"/>
      <c r="LVG18" s="15"/>
      <c r="LVL18" s="15"/>
      <c r="LVQ18" s="15"/>
      <c r="LVV18" s="15"/>
      <c r="LWA18" s="15"/>
      <c r="LWF18" s="15"/>
      <c r="LWK18" s="15"/>
      <c r="LWP18" s="15"/>
      <c r="LWU18" s="15"/>
      <c r="LWZ18" s="15"/>
      <c r="LXE18" s="15"/>
      <c r="LXJ18" s="15"/>
      <c r="LXO18" s="15"/>
      <c r="LXT18" s="15"/>
      <c r="LXY18" s="15"/>
      <c r="LYD18" s="15"/>
      <c r="LYI18" s="15"/>
      <c r="LYN18" s="15"/>
      <c r="LYS18" s="15"/>
      <c r="LYX18" s="15"/>
      <c r="LZC18" s="15"/>
      <c r="LZH18" s="15"/>
      <c r="LZM18" s="15"/>
      <c r="LZR18" s="15"/>
      <c r="LZW18" s="15"/>
      <c r="MAB18" s="15"/>
      <c r="MAG18" s="15"/>
      <c r="MAL18" s="15"/>
      <c r="MAQ18" s="15"/>
      <c r="MAV18" s="15"/>
      <c r="MBA18" s="15"/>
      <c r="MBF18" s="15"/>
      <c r="MBK18" s="15"/>
      <c r="MBP18" s="15"/>
      <c r="MBU18" s="15"/>
      <c r="MBZ18" s="15"/>
      <c r="MCE18" s="15"/>
      <c r="MCJ18" s="15"/>
      <c r="MCO18" s="15"/>
      <c r="MCT18" s="15"/>
      <c r="MCY18" s="15"/>
      <c r="MDD18" s="15"/>
      <c r="MDI18" s="15"/>
      <c r="MDN18" s="15"/>
      <c r="MDS18" s="15"/>
      <c r="MDX18" s="15"/>
      <c r="MEC18" s="15"/>
      <c r="MEH18" s="15"/>
      <c r="MEM18" s="15"/>
      <c r="MER18" s="15"/>
      <c r="MEW18" s="15"/>
      <c r="MFB18" s="15"/>
      <c r="MFG18" s="15"/>
      <c r="MFL18" s="15"/>
      <c r="MFQ18" s="15"/>
      <c r="MFV18" s="15"/>
      <c r="MGA18" s="15"/>
      <c r="MGF18" s="15"/>
      <c r="MGK18" s="15"/>
      <c r="MGP18" s="15"/>
      <c r="MGU18" s="15"/>
      <c r="MGZ18" s="15"/>
      <c r="MHE18" s="15"/>
      <c r="MHJ18" s="15"/>
      <c r="MHO18" s="15"/>
      <c r="MHT18" s="15"/>
      <c r="MHY18" s="15"/>
      <c r="MID18" s="15"/>
      <c r="MII18" s="15"/>
      <c r="MIN18" s="15"/>
      <c r="MIS18" s="15"/>
      <c r="MIX18" s="15"/>
      <c r="MJC18" s="15"/>
      <c r="MJH18" s="15"/>
      <c r="MJM18" s="15"/>
      <c r="MJR18" s="15"/>
      <c r="MJW18" s="15"/>
      <c r="MKB18" s="15"/>
      <c r="MKG18" s="15"/>
      <c r="MKL18" s="15"/>
      <c r="MKQ18" s="15"/>
      <c r="MKV18" s="15"/>
      <c r="MLA18" s="15"/>
      <c r="MLF18" s="15"/>
      <c r="MLK18" s="15"/>
      <c r="MLP18" s="15"/>
      <c r="MLU18" s="15"/>
      <c r="MLZ18" s="15"/>
      <c r="MME18" s="15"/>
      <c r="MMJ18" s="15"/>
      <c r="MMO18" s="15"/>
      <c r="MMT18" s="15"/>
      <c r="MMY18" s="15"/>
      <c r="MND18" s="15"/>
      <c r="MNI18" s="15"/>
      <c r="MNN18" s="15"/>
      <c r="MNS18" s="15"/>
      <c r="MNX18" s="15"/>
      <c r="MOC18" s="15"/>
      <c r="MOH18" s="15"/>
      <c r="MOM18" s="15"/>
      <c r="MOR18" s="15"/>
      <c r="MOW18" s="15"/>
      <c r="MPB18" s="15"/>
      <c r="MPG18" s="15"/>
      <c r="MPL18" s="15"/>
      <c r="MPQ18" s="15"/>
      <c r="MPV18" s="15"/>
      <c r="MQA18" s="15"/>
      <c r="MQF18" s="15"/>
      <c r="MQK18" s="15"/>
      <c r="MQP18" s="15"/>
      <c r="MQU18" s="15"/>
      <c r="MQZ18" s="15"/>
      <c r="MRE18" s="15"/>
      <c r="MRJ18" s="15"/>
      <c r="MRO18" s="15"/>
      <c r="MRT18" s="15"/>
      <c r="MRY18" s="15"/>
      <c r="MSD18" s="15"/>
      <c r="MSI18" s="15"/>
      <c r="MSN18" s="15"/>
      <c r="MSS18" s="15"/>
      <c r="MSX18" s="15"/>
      <c r="MTC18" s="15"/>
      <c r="MTH18" s="15"/>
      <c r="MTM18" s="15"/>
      <c r="MTR18" s="15"/>
      <c r="MTW18" s="15"/>
      <c r="MUB18" s="15"/>
      <c r="MUG18" s="15"/>
      <c r="MUL18" s="15"/>
      <c r="MUQ18" s="15"/>
      <c r="MUV18" s="15"/>
      <c r="MVA18" s="15"/>
      <c r="MVF18" s="15"/>
      <c r="MVK18" s="15"/>
      <c r="MVP18" s="15"/>
      <c r="MVU18" s="15"/>
      <c r="MVZ18" s="15"/>
      <c r="MWE18" s="15"/>
      <c r="MWJ18" s="15"/>
      <c r="MWO18" s="15"/>
      <c r="MWT18" s="15"/>
      <c r="MWY18" s="15"/>
      <c r="MXD18" s="15"/>
      <c r="MXI18" s="15"/>
      <c r="MXN18" s="15"/>
      <c r="MXS18" s="15"/>
      <c r="MXX18" s="15"/>
      <c r="MYC18" s="15"/>
      <c r="MYH18" s="15"/>
      <c r="MYM18" s="15"/>
      <c r="MYR18" s="15"/>
      <c r="MYW18" s="15"/>
      <c r="MZB18" s="15"/>
      <c r="MZG18" s="15"/>
      <c r="MZL18" s="15"/>
      <c r="MZQ18" s="15"/>
      <c r="MZV18" s="15"/>
      <c r="NAA18" s="15"/>
      <c r="NAF18" s="15"/>
      <c r="NAK18" s="15"/>
      <c r="NAP18" s="15"/>
      <c r="NAU18" s="15"/>
      <c r="NAZ18" s="15"/>
      <c r="NBE18" s="15"/>
      <c r="NBJ18" s="15"/>
      <c r="NBO18" s="15"/>
      <c r="NBT18" s="15"/>
      <c r="NBY18" s="15"/>
      <c r="NCD18" s="15"/>
      <c r="NCI18" s="15"/>
      <c r="NCN18" s="15"/>
      <c r="NCS18" s="15"/>
      <c r="NCX18" s="15"/>
      <c r="NDC18" s="15"/>
      <c r="NDH18" s="15"/>
      <c r="NDM18" s="15"/>
      <c r="NDR18" s="15"/>
      <c r="NDW18" s="15"/>
      <c r="NEB18" s="15"/>
      <c r="NEG18" s="15"/>
      <c r="NEL18" s="15"/>
      <c r="NEQ18" s="15"/>
      <c r="NEV18" s="15"/>
      <c r="NFA18" s="15"/>
      <c r="NFF18" s="15"/>
      <c r="NFK18" s="15"/>
      <c r="NFP18" s="15"/>
      <c r="NFU18" s="15"/>
      <c r="NFZ18" s="15"/>
      <c r="NGE18" s="15"/>
      <c r="NGJ18" s="15"/>
      <c r="NGO18" s="15"/>
      <c r="NGT18" s="15"/>
      <c r="NGY18" s="15"/>
      <c r="NHD18" s="15"/>
      <c r="NHI18" s="15"/>
      <c r="NHN18" s="15"/>
      <c r="NHS18" s="15"/>
      <c r="NHX18" s="15"/>
      <c r="NIC18" s="15"/>
      <c r="NIH18" s="15"/>
      <c r="NIM18" s="15"/>
      <c r="NIR18" s="15"/>
      <c r="NIW18" s="15"/>
      <c r="NJB18" s="15"/>
      <c r="NJG18" s="15"/>
      <c r="NJL18" s="15"/>
      <c r="NJQ18" s="15"/>
      <c r="NJV18" s="15"/>
      <c r="NKA18" s="15"/>
      <c r="NKF18" s="15"/>
      <c r="NKK18" s="15"/>
      <c r="NKP18" s="15"/>
      <c r="NKU18" s="15"/>
      <c r="NKZ18" s="15"/>
      <c r="NLE18" s="15"/>
      <c r="NLJ18" s="15"/>
      <c r="NLO18" s="15"/>
      <c r="NLT18" s="15"/>
      <c r="NLY18" s="15"/>
      <c r="NMD18" s="15"/>
      <c r="NMI18" s="15"/>
      <c r="NMN18" s="15"/>
      <c r="NMS18" s="15"/>
      <c r="NMX18" s="15"/>
      <c r="NNC18" s="15"/>
      <c r="NNH18" s="15"/>
      <c r="NNM18" s="15"/>
      <c r="NNR18" s="15"/>
      <c r="NNW18" s="15"/>
      <c r="NOB18" s="15"/>
      <c r="NOG18" s="15"/>
      <c r="NOL18" s="15"/>
      <c r="NOQ18" s="15"/>
      <c r="NOV18" s="15"/>
      <c r="NPA18" s="15"/>
      <c r="NPF18" s="15"/>
      <c r="NPK18" s="15"/>
      <c r="NPP18" s="15"/>
      <c r="NPU18" s="15"/>
      <c r="NPZ18" s="15"/>
      <c r="NQE18" s="15"/>
      <c r="NQJ18" s="15"/>
      <c r="NQO18" s="15"/>
      <c r="NQT18" s="15"/>
      <c r="NQY18" s="15"/>
      <c r="NRD18" s="15"/>
      <c r="NRI18" s="15"/>
      <c r="NRN18" s="15"/>
      <c r="NRS18" s="15"/>
      <c r="NRX18" s="15"/>
      <c r="NSC18" s="15"/>
      <c r="NSH18" s="15"/>
      <c r="NSM18" s="15"/>
      <c r="NSR18" s="15"/>
      <c r="NSW18" s="15"/>
      <c r="NTB18" s="15"/>
      <c r="NTG18" s="15"/>
      <c r="NTL18" s="15"/>
      <c r="NTQ18" s="15"/>
      <c r="NTV18" s="15"/>
      <c r="NUA18" s="15"/>
      <c r="NUF18" s="15"/>
      <c r="NUK18" s="15"/>
      <c r="NUP18" s="15"/>
      <c r="NUU18" s="15"/>
      <c r="NUZ18" s="15"/>
      <c r="NVE18" s="15"/>
      <c r="NVJ18" s="15"/>
      <c r="NVO18" s="15"/>
      <c r="NVT18" s="15"/>
      <c r="NVY18" s="15"/>
      <c r="NWD18" s="15"/>
      <c r="NWI18" s="15"/>
      <c r="NWN18" s="15"/>
      <c r="NWS18" s="15"/>
      <c r="NWX18" s="15"/>
      <c r="NXC18" s="15"/>
      <c r="NXH18" s="15"/>
      <c r="NXM18" s="15"/>
      <c r="NXR18" s="15"/>
      <c r="NXW18" s="15"/>
      <c r="NYB18" s="15"/>
      <c r="NYG18" s="15"/>
      <c r="NYL18" s="15"/>
      <c r="NYQ18" s="15"/>
      <c r="NYV18" s="15"/>
      <c r="NZA18" s="15"/>
      <c r="NZF18" s="15"/>
      <c r="NZK18" s="15"/>
      <c r="NZP18" s="15"/>
      <c r="NZU18" s="15"/>
      <c r="NZZ18" s="15"/>
      <c r="OAE18" s="15"/>
      <c r="OAJ18" s="15"/>
      <c r="OAO18" s="15"/>
      <c r="OAT18" s="15"/>
      <c r="OAY18" s="15"/>
      <c r="OBD18" s="15"/>
      <c r="OBI18" s="15"/>
      <c r="OBN18" s="15"/>
      <c r="OBS18" s="15"/>
      <c r="OBX18" s="15"/>
      <c r="OCC18" s="15"/>
      <c r="OCH18" s="15"/>
      <c r="OCM18" s="15"/>
      <c r="OCR18" s="15"/>
      <c r="OCW18" s="15"/>
      <c r="ODB18" s="15"/>
      <c r="ODG18" s="15"/>
      <c r="ODL18" s="15"/>
      <c r="ODQ18" s="15"/>
      <c r="ODV18" s="15"/>
      <c r="OEA18" s="15"/>
      <c r="OEF18" s="15"/>
      <c r="OEK18" s="15"/>
      <c r="OEP18" s="15"/>
      <c r="OEU18" s="15"/>
      <c r="OEZ18" s="15"/>
      <c r="OFE18" s="15"/>
      <c r="OFJ18" s="15"/>
      <c r="OFO18" s="15"/>
      <c r="OFT18" s="15"/>
      <c r="OFY18" s="15"/>
      <c r="OGD18" s="15"/>
      <c r="OGI18" s="15"/>
      <c r="OGN18" s="15"/>
      <c r="OGS18" s="15"/>
      <c r="OGX18" s="15"/>
      <c r="OHC18" s="15"/>
      <c r="OHH18" s="15"/>
      <c r="OHM18" s="15"/>
      <c r="OHR18" s="15"/>
      <c r="OHW18" s="15"/>
      <c r="OIB18" s="15"/>
      <c r="OIG18" s="15"/>
      <c r="OIL18" s="15"/>
      <c r="OIQ18" s="15"/>
      <c r="OIV18" s="15"/>
      <c r="OJA18" s="15"/>
      <c r="OJF18" s="15"/>
      <c r="OJK18" s="15"/>
      <c r="OJP18" s="15"/>
      <c r="OJU18" s="15"/>
      <c r="OJZ18" s="15"/>
      <c r="OKE18" s="15"/>
      <c r="OKJ18" s="15"/>
      <c r="OKO18" s="15"/>
      <c r="OKT18" s="15"/>
      <c r="OKY18" s="15"/>
      <c r="OLD18" s="15"/>
      <c r="OLI18" s="15"/>
      <c r="OLN18" s="15"/>
      <c r="OLS18" s="15"/>
      <c r="OLX18" s="15"/>
      <c r="OMC18" s="15"/>
      <c r="OMH18" s="15"/>
      <c r="OMM18" s="15"/>
      <c r="OMR18" s="15"/>
      <c r="OMW18" s="15"/>
      <c r="ONB18" s="15"/>
      <c r="ONG18" s="15"/>
      <c r="ONL18" s="15"/>
      <c r="ONQ18" s="15"/>
      <c r="ONV18" s="15"/>
      <c r="OOA18" s="15"/>
      <c r="OOF18" s="15"/>
      <c r="OOK18" s="15"/>
      <c r="OOP18" s="15"/>
      <c r="OOU18" s="15"/>
      <c r="OOZ18" s="15"/>
      <c r="OPE18" s="15"/>
      <c r="OPJ18" s="15"/>
      <c r="OPO18" s="15"/>
      <c r="OPT18" s="15"/>
      <c r="OPY18" s="15"/>
      <c r="OQD18" s="15"/>
      <c r="OQI18" s="15"/>
      <c r="OQN18" s="15"/>
      <c r="OQS18" s="15"/>
      <c r="OQX18" s="15"/>
      <c r="ORC18" s="15"/>
      <c r="ORH18" s="15"/>
      <c r="ORM18" s="15"/>
      <c r="ORR18" s="15"/>
      <c r="ORW18" s="15"/>
      <c r="OSB18" s="15"/>
      <c r="OSG18" s="15"/>
      <c r="OSL18" s="15"/>
      <c r="OSQ18" s="15"/>
      <c r="OSV18" s="15"/>
      <c r="OTA18" s="15"/>
      <c r="OTF18" s="15"/>
      <c r="OTK18" s="15"/>
      <c r="OTP18" s="15"/>
      <c r="OTU18" s="15"/>
      <c r="OTZ18" s="15"/>
      <c r="OUE18" s="15"/>
      <c r="OUJ18" s="15"/>
      <c r="OUO18" s="15"/>
      <c r="OUT18" s="15"/>
      <c r="OUY18" s="15"/>
      <c r="OVD18" s="15"/>
      <c r="OVI18" s="15"/>
      <c r="OVN18" s="15"/>
      <c r="OVS18" s="15"/>
      <c r="OVX18" s="15"/>
      <c r="OWC18" s="15"/>
      <c r="OWH18" s="15"/>
      <c r="OWM18" s="15"/>
      <c r="OWR18" s="15"/>
      <c r="OWW18" s="15"/>
      <c r="OXB18" s="15"/>
      <c r="OXG18" s="15"/>
      <c r="OXL18" s="15"/>
      <c r="OXQ18" s="15"/>
      <c r="OXV18" s="15"/>
      <c r="OYA18" s="15"/>
      <c r="OYF18" s="15"/>
      <c r="OYK18" s="15"/>
      <c r="OYP18" s="15"/>
      <c r="OYU18" s="15"/>
      <c r="OYZ18" s="15"/>
      <c r="OZE18" s="15"/>
      <c r="OZJ18" s="15"/>
      <c r="OZO18" s="15"/>
      <c r="OZT18" s="15"/>
      <c r="OZY18" s="15"/>
      <c r="PAD18" s="15"/>
      <c r="PAI18" s="15"/>
      <c r="PAN18" s="15"/>
      <c r="PAS18" s="15"/>
      <c r="PAX18" s="15"/>
      <c r="PBC18" s="15"/>
      <c r="PBH18" s="15"/>
      <c r="PBM18" s="15"/>
      <c r="PBR18" s="15"/>
      <c r="PBW18" s="15"/>
      <c r="PCB18" s="15"/>
      <c r="PCG18" s="15"/>
      <c r="PCL18" s="15"/>
      <c r="PCQ18" s="15"/>
      <c r="PCV18" s="15"/>
      <c r="PDA18" s="15"/>
      <c r="PDF18" s="15"/>
      <c r="PDK18" s="15"/>
      <c r="PDP18" s="15"/>
      <c r="PDU18" s="15"/>
      <c r="PDZ18" s="15"/>
      <c r="PEE18" s="15"/>
      <c r="PEJ18" s="15"/>
      <c r="PEO18" s="15"/>
      <c r="PET18" s="15"/>
      <c r="PEY18" s="15"/>
      <c r="PFD18" s="15"/>
      <c r="PFI18" s="15"/>
      <c r="PFN18" s="15"/>
      <c r="PFS18" s="15"/>
      <c r="PFX18" s="15"/>
      <c r="PGC18" s="15"/>
      <c r="PGH18" s="15"/>
      <c r="PGM18" s="15"/>
      <c r="PGR18" s="15"/>
      <c r="PGW18" s="15"/>
      <c r="PHB18" s="15"/>
      <c r="PHG18" s="15"/>
      <c r="PHL18" s="15"/>
      <c r="PHQ18" s="15"/>
      <c r="PHV18" s="15"/>
      <c r="PIA18" s="15"/>
      <c r="PIF18" s="15"/>
      <c r="PIK18" s="15"/>
      <c r="PIP18" s="15"/>
      <c r="PIU18" s="15"/>
      <c r="PIZ18" s="15"/>
      <c r="PJE18" s="15"/>
      <c r="PJJ18" s="15"/>
      <c r="PJO18" s="15"/>
      <c r="PJT18" s="15"/>
      <c r="PJY18" s="15"/>
      <c r="PKD18" s="15"/>
      <c r="PKI18" s="15"/>
      <c r="PKN18" s="15"/>
      <c r="PKS18" s="15"/>
      <c r="PKX18" s="15"/>
      <c r="PLC18" s="15"/>
      <c r="PLH18" s="15"/>
      <c r="PLM18" s="15"/>
      <c r="PLR18" s="15"/>
      <c r="PLW18" s="15"/>
      <c r="PMB18" s="15"/>
      <c r="PMG18" s="15"/>
      <c r="PML18" s="15"/>
      <c r="PMQ18" s="15"/>
      <c r="PMV18" s="15"/>
      <c r="PNA18" s="15"/>
      <c r="PNF18" s="15"/>
      <c r="PNK18" s="15"/>
      <c r="PNP18" s="15"/>
      <c r="PNU18" s="15"/>
      <c r="PNZ18" s="15"/>
      <c r="POE18" s="15"/>
      <c r="POJ18" s="15"/>
      <c r="POO18" s="15"/>
      <c r="POT18" s="15"/>
      <c r="POY18" s="15"/>
      <c r="PPD18" s="15"/>
      <c r="PPI18" s="15"/>
      <c r="PPN18" s="15"/>
      <c r="PPS18" s="15"/>
      <c r="PPX18" s="15"/>
      <c r="PQC18" s="15"/>
      <c r="PQH18" s="15"/>
      <c r="PQM18" s="15"/>
      <c r="PQR18" s="15"/>
      <c r="PQW18" s="15"/>
      <c r="PRB18" s="15"/>
      <c r="PRG18" s="15"/>
      <c r="PRL18" s="15"/>
      <c r="PRQ18" s="15"/>
      <c r="PRV18" s="15"/>
      <c r="PSA18" s="15"/>
      <c r="PSF18" s="15"/>
      <c r="PSK18" s="15"/>
      <c r="PSP18" s="15"/>
      <c r="PSU18" s="15"/>
      <c r="PSZ18" s="15"/>
      <c r="PTE18" s="15"/>
      <c r="PTJ18" s="15"/>
      <c r="PTO18" s="15"/>
      <c r="PTT18" s="15"/>
      <c r="PTY18" s="15"/>
      <c r="PUD18" s="15"/>
      <c r="PUI18" s="15"/>
      <c r="PUN18" s="15"/>
      <c r="PUS18" s="15"/>
      <c r="PUX18" s="15"/>
      <c r="PVC18" s="15"/>
      <c r="PVH18" s="15"/>
      <c r="PVM18" s="15"/>
      <c r="PVR18" s="15"/>
      <c r="PVW18" s="15"/>
      <c r="PWB18" s="15"/>
      <c r="PWG18" s="15"/>
      <c r="PWL18" s="15"/>
      <c r="PWQ18" s="15"/>
      <c r="PWV18" s="15"/>
      <c r="PXA18" s="15"/>
      <c r="PXF18" s="15"/>
      <c r="PXK18" s="15"/>
      <c r="PXP18" s="15"/>
      <c r="PXU18" s="15"/>
      <c r="PXZ18" s="15"/>
      <c r="PYE18" s="15"/>
      <c r="PYJ18" s="15"/>
      <c r="PYO18" s="15"/>
      <c r="PYT18" s="15"/>
      <c r="PYY18" s="15"/>
      <c r="PZD18" s="15"/>
      <c r="PZI18" s="15"/>
      <c r="PZN18" s="15"/>
      <c r="PZS18" s="15"/>
      <c r="PZX18" s="15"/>
      <c r="QAC18" s="15"/>
      <c r="QAH18" s="15"/>
      <c r="QAM18" s="15"/>
      <c r="QAR18" s="15"/>
      <c r="QAW18" s="15"/>
      <c r="QBB18" s="15"/>
      <c r="QBG18" s="15"/>
      <c r="QBL18" s="15"/>
      <c r="QBQ18" s="15"/>
      <c r="QBV18" s="15"/>
      <c r="QCA18" s="15"/>
      <c r="QCF18" s="15"/>
      <c r="QCK18" s="15"/>
      <c r="QCP18" s="15"/>
      <c r="QCU18" s="15"/>
      <c r="QCZ18" s="15"/>
      <c r="QDE18" s="15"/>
      <c r="QDJ18" s="15"/>
      <c r="QDO18" s="15"/>
      <c r="QDT18" s="15"/>
      <c r="QDY18" s="15"/>
      <c r="QED18" s="15"/>
      <c r="QEI18" s="15"/>
      <c r="QEN18" s="15"/>
      <c r="QES18" s="15"/>
      <c r="QEX18" s="15"/>
      <c r="QFC18" s="15"/>
      <c r="QFH18" s="15"/>
      <c r="QFM18" s="15"/>
      <c r="QFR18" s="15"/>
      <c r="QFW18" s="15"/>
      <c r="QGB18" s="15"/>
      <c r="QGG18" s="15"/>
      <c r="QGL18" s="15"/>
      <c r="QGQ18" s="15"/>
      <c r="QGV18" s="15"/>
      <c r="QHA18" s="15"/>
      <c r="QHF18" s="15"/>
      <c r="QHK18" s="15"/>
      <c r="QHP18" s="15"/>
      <c r="QHU18" s="15"/>
      <c r="QHZ18" s="15"/>
      <c r="QIE18" s="15"/>
      <c r="QIJ18" s="15"/>
      <c r="QIO18" s="15"/>
      <c r="QIT18" s="15"/>
      <c r="QIY18" s="15"/>
      <c r="QJD18" s="15"/>
      <c r="QJI18" s="15"/>
      <c r="QJN18" s="15"/>
      <c r="QJS18" s="15"/>
      <c r="QJX18" s="15"/>
      <c r="QKC18" s="15"/>
      <c r="QKH18" s="15"/>
      <c r="QKM18" s="15"/>
      <c r="QKR18" s="15"/>
      <c r="QKW18" s="15"/>
      <c r="QLB18" s="15"/>
      <c r="QLG18" s="15"/>
      <c r="QLL18" s="15"/>
      <c r="QLQ18" s="15"/>
      <c r="QLV18" s="15"/>
      <c r="QMA18" s="15"/>
      <c r="QMF18" s="15"/>
      <c r="QMK18" s="15"/>
      <c r="QMP18" s="15"/>
      <c r="QMU18" s="15"/>
      <c r="QMZ18" s="15"/>
      <c r="QNE18" s="15"/>
      <c r="QNJ18" s="15"/>
      <c r="QNO18" s="15"/>
      <c r="QNT18" s="15"/>
      <c r="QNY18" s="15"/>
      <c r="QOD18" s="15"/>
      <c r="QOI18" s="15"/>
      <c r="QON18" s="15"/>
      <c r="QOS18" s="15"/>
      <c r="QOX18" s="15"/>
      <c r="QPC18" s="15"/>
      <c r="QPH18" s="15"/>
      <c r="QPM18" s="15"/>
      <c r="QPR18" s="15"/>
      <c r="QPW18" s="15"/>
      <c r="QQB18" s="15"/>
      <c r="QQG18" s="15"/>
      <c r="QQL18" s="15"/>
      <c r="QQQ18" s="15"/>
      <c r="QQV18" s="15"/>
      <c r="QRA18" s="15"/>
      <c r="QRF18" s="15"/>
      <c r="QRK18" s="15"/>
      <c r="QRP18" s="15"/>
      <c r="QRU18" s="15"/>
      <c r="QRZ18" s="15"/>
      <c r="QSE18" s="15"/>
      <c r="QSJ18" s="15"/>
      <c r="QSO18" s="15"/>
      <c r="QST18" s="15"/>
      <c r="QSY18" s="15"/>
      <c r="QTD18" s="15"/>
      <c r="QTI18" s="15"/>
      <c r="QTN18" s="15"/>
      <c r="QTS18" s="15"/>
      <c r="QTX18" s="15"/>
      <c r="QUC18" s="15"/>
      <c r="QUH18" s="15"/>
      <c r="QUM18" s="15"/>
      <c r="QUR18" s="15"/>
      <c r="QUW18" s="15"/>
      <c r="QVB18" s="15"/>
      <c r="QVG18" s="15"/>
      <c r="QVL18" s="15"/>
      <c r="QVQ18" s="15"/>
      <c r="QVV18" s="15"/>
      <c r="QWA18" s="15"/>
      <c r="QWF18" s="15"/>
      <c r="QWK18" s="15"/>
      <c r="QWP18" s="15"/>
      <c r="QWU18" s="15"/>
      <c r="QWZ18" s="15"/>
      <c r="QXE18" s="15"/>
      <c r="QXJ18" s="15"/>
      <c r="QXO18" s="15"/>
      <c r="QXT18" s="15"/>
      <c r="QXY18" s="15"/>
      <c r="QYD18" s="15"/>
      <c r="QYI18" s="15"/>
      <c r="QYN18" s="15"/>
      <c r="QYS18" s="15"/>
      <c r="QYX18" s="15"/>
      <c r="QZC18" s="15"/>
      <c r="QZH18" s="15"/>
      <c r="QZM18" s="15"/>
      <c r="QZR18" s="15"/>
      <c r="QZW18" s="15"/>
      <c r="RAB18" s="15"/>
      <c r="RAG18" s="15"/>
      <c r="RAL18" s="15"/>
      <c r="RAQ18" s="15"/>
      <c r="RAV18" s="15"/>
      <c r="RBA18" s="15"/>
      <c r="RBF18" s="15"/>
      <c r="RBK18" s="15"/>
      <c r="RBP18" s="15"/>
      <c r="RBU18" s="15"/>
      <c r="RBZ18" s="15"/>
      <c r="RCE18" s="15"/>
      <c r="RCJ18" s="15"/>
      <c r="RCO18" s="15"/>
      <c r="RCT18" s="15"/>
      <c r="RCY18" s="15"/>
      <c r="RDD18" s="15"/>
      <c r="RDI18" s="15"/>
      <c r="RDN18" s="15"/>
      <c r="RDS18" s="15"/>
      <c r="RDX18" s="15"/>
      <c r="REC18" s="15"/>
      <c r="REH18" s="15"/>
      <c r="REM18" s="15"/>
      <c r="RER18" s="15"/>
      <c r="REW18" s="15"/>
      <c r="RFB18" s="15"/>
      <c r="RFG18" s="15"/>
      <c r="RFL18" s="15"/>
      <c r="RFQ18" s="15"/>
      <c r="RFV18" s="15"/>
      <c r="RGA18" s="15"/>
      <c r="RGF18" s="15"/>
      <c r="RGK18" s="15"/>
      <c r="RGP18" s="15"/>
      <c r="RGU18" s="15"/>
      <c r="RGZ18" s="15"/>
      <c r="RHE18" s="15"/>
      <c r="RHJ18" s="15"/>
      <c r="RHO18" s="15"/>
      <c r="RHT18" s="15"/>
      <c r="RHY18" s="15"/>
      <c r="RID18" s="15"/>
      <c r="RII18" s="15"/>
      <c r="RIN18" s="15"/>
      <c r="RIS18" s="15"/>
      <c r="RIX18" s="15"/>
      <c r="RJC18" s="15"/>
      <c r="RJH18" s="15"/>
      <c r="RJM18" s="15"/>
      <c r="RJR18" s="15"/>
      <c r="RJW18" s="15"/>
      <c r="RKB18" s="15"/>
      <c r="RKG18" s="15"/>
      <c r="RKL18" s="15"/>
      <c r="RKQ18" s="15"/>
      <c r="RKV18" s="15"/>
      <c r="RLA18" s="15"/>
      <c r="RLF18" s="15"/>
      <c r="RLK18" s="15"/>
      <c r="RLP18" s="15"/>
      <c r="RLU18" s="15"/>
      <c r="RLZ18" s="15"/>
      <c r="RME18" s="15"/>
      <c r="RMJ18" s="15"/>
      <c r="RMO18" s="15"/>
      <c r="RMT18" s="15"/>
      <c r="RMY18" s="15"/>
      <c r="RND18" s="15"/>
      <c r="RNI18" s="15"/>
      <c r="RNN18" s="15"/>
      <c r="RNS18" s="15"/>
      <c r="RNX18" s="15"/>
      <c r="ROC18" s="15"/>
      <c r="ROH18" s="15"/>
      <c r="ROM18" s="15"/>
      <c r="ROR18" s="15"/>
      <c r="ROW18" s="15"/>
      <c r="RPB18" s="15"/>
      <c r="RPG18" s="15"/>
      <c r="RPL18" s="15"/>
      <c r="RPQ18" s="15"/>
      <c r="RPV18" s="15"/>
      <c r="RQA18" s="15"/>
      <c r="RQF18" s="15"/>
      <c r="RQK18" s="15"/>
      <c r="RQP18" s="15"/>
      <c r="RQU18" s="15"/>
      <c r="RQZ18" s="15"/>
      <c r="RRE18" s="15"/>
      <c r="RRJ18" s="15"/>
      <c r="RRO18" s="15"/>
      <c r="RRT18" s="15"/>
      <c r="RRY18" s="15"/>
      <c r="RSD18" s="15"/>
      <c r="RSI18" s="15"/>
      <c r="RSN18" s="15"/>
      <c r="RSS18" s="15"/>
      <c r="RSX18" s="15"/>
      <c r="RTC18" s="15"/>
      <c r="RTH18" s="15"/>
      <c r="RTM18" s="15"/>
      <c r="RTR18" s="15"/>
      <c r="RTW18" s="15"/>
      <c r="RUB18" s="15"/>
      <c r="RUG18" s="15"/>
      <c r="RUL18" s="15"/>
      <c r="RUQ18" s="15"/>
      <c r="RUV18" s="15"/>
      <c r="RVA18" s="15"/>
      <c r="RVF18" s="15"/>
      <c r="RVK18" s="15"/>
      <c r="RVP18" s="15"/>
      <c r="RVU18" s="15"/>
      <c r="RVZ18" s="15"/>
      <c r="RWE18" s="15"/>
      <c r="RWJ18" s="15"/>
      <c r="RWO18" s="15"/>
      <c r="RWT18" s="15"/>
      <c r="RWY18" s="15"/>
      <c r="RXD18" s="15"/>
      <c r="RXI18" s="15"/>
      <c r="RXN18" s="15"/>
      <c r="RXS18" s="15"/>
      <c r="RXX18" s="15"/>
      <c r="RYC18" s="15"/>
      <c r="RYH18" s="15"/>
      <c r="RYM18" s="15"/>
      <c r="RYR18" s="15"/>
      <c r="RYW18" s="15"/>
      <c r="RZB18" s="15"/>
      <c r="RZG18" s="15"/>
      <c r="RZL18" s="15"/>
      <c r="RZQ18" s="15"/>
      <c r="RZV18" s="15"/>
      <c r="SAA18" s="15"/>
      <c r="SAF18" s="15"/>
      <c r="SAK18" s="15"/>
      <c r="SAP18" s="15"/>
      <c r="SAU18" s="15"/>
      <c r="SAZ18" s="15"/>
      <c r="SBE18" s="15"/>
      <c r="SBJ18" s="15"/>
      <c r="SBO18" s="15"/>
      <c r="SBT18" s="15"/>
      <c r="SBY18" s="15"/>
      <c r="SCD18" s="15"/>
      <c r="SCI18" s="15"/>
      <c r="SCN18" s="15"/>
      <c r="SCS18" s="15"/>
      <c r="SCX18" s="15"/>
      <c r="SDC18" s="15"/>
      <c r="SDH18" s="15"/>
      <c r="SDM18" s="15"/>
      <c r="SDR18" s="15"/>
      <c r="SDW18" s="15"/>
      <c r="SEB18" s="15"/>
      <c r="SEG18" s="15"/>
      <c r="SEL18" s="15"/>
      <c r="SEQ18" s="15"/>
      <c r="SEV18" s="15"/>
      <c r="SFA18" s="15"/>
      <c r="SFF18" s="15"/>
      <c r="SFK18" s="15"/>
      <c r="SFP18" s="15"/>
      <c r="SFU18" s="15"/>
      <c r="SFZ18" s="15"/>
      <c r="SGE18" s="15"/>
      <c r="SGJ18" s="15"/>
      <c r="SGO18" s="15"/>
      <c r="SGT18" s="15"/>
      <c r="SGY18" s="15"/>
      <c r="SHD18" s="15"/>
      <c r="SHI18" s="15"/>
      <c r="SHN18" s="15"/>
      <c r="SHS18" s="15"/>
      <c r="SHX18" s="15"/>
      <c r="SIC18" s="15"/>
      <c r="SIH18" s="15"/>
      <c r="SIM18" s="15"/>
      <c r="SIR18" s="15"/>
      <c r="SIW18" s="15"/>
      <c r="SJB18" s="15"/>
      <c r="SJG18" s="15"/>
      <c r="SJL18" s="15"/>
      <c r="SJQ18" s="15"/>
      <c r="SJV18" s="15"/>
      <c r="SKA18" s="15"/>
      <c r="SKF18" s="15"/>
      <c r="SKK18" s="15"/>
      <c r="SKP18" s="15"/>
      <c r="SKU18" s="15"/>
      <c r="SKZ18" s="15"/>
      <c r="SLE18" s="15"/>
      <c r="SLJ18" s="15"/>
      <c r="SLO18" s="15"/>
      <c r="SLT18" s="15"/>
      <c r="SLY18" s="15"/>
      <c r="SMD18" s="15"/>
      <c r="SMI18" s="15"/>
      <c r="SMN18" s="15"/>
      <c r="SMS18" s="15"/>
      <c r="SMX18" s="15"/>
      <c r="SNC18" s="15"/>
      <c r="SNH18" s="15"/>
      <c r="SNM18" s="15"/>
      <c r="SNR18" s="15"/>
      <c r="SNW18" s="15"/>
      <c r="SOB18" s="15"/>
      <c r="SOG18" s="15"/>
      <c r="SOL18" s="15"/>
      <c r="SOQ18" s="15"/>
      <c r="SOV18" s="15"/>
      <c r="SPA18" s="15"/>
      <c r="SPF18" s="15"/>
      <c r="SPK18" s="15"/>
      <c r="SPP18" s="15"/>
      <c r="SPU18" s="15"/>
      <c r="SPZ18" s="15"/>
      <c r="SQE18" s="15"/>
      <c r="SQJ18" s="15"/>
      <c r="SQO18" s="15"/>
      <c r="SQT18" s="15"/>
      <c r="SQY18" s="15"/>
      <c r="SRD18" s="15"/>
      <c r="SRI18" s="15"/>
      <c r="SRN18" s="15"/>
      <c r="SRS18" s="15"/>
      <c r="SRX18" s="15"/>
      <c r="SSC18" s="15"/>
      <c r="SSH18" s="15"/>
      <c r="SSM18" s="15"/>
      <c r="SSR18" s="15"/>
      <c r="SSW18" s="15"/>
      <c r="STB18" s="15"/>
      <c r="STG18" s="15"/>
      <c r="STL18" s="15"/>
      <c r="STQ18" s="15"/>
      <c r="STV18" s="15"/>
      <c r="SUA18" s="15"/>
      <c r="SUF18" s="15"/>
      <c r="SUK18" s="15"/>
      <c r="SUP18" s="15"/>
      <c r="SUU18" s="15"/>
      <c r="SUZ18" s="15"/>
      <c r="SVE18" s="15"/>
      <c r="SVJ18" s="15"/>
      <c r="SVO18" s="15"/>
      <c r="SVT18" s="15"/>
      <c r="SVY18" s="15"/>
      <c r="SWD18" s="15"/>
      <c r="SWI18" s="15"/>
      <c r="SWN18" s="15"/>
      <c r="SWS18" s="15"/>
      <c r="SWX18" s="15"/>
      <c r="SXC18" s="15"/>
      <c r="SXH18" s="15"/>
      <c r="SXM18" s="15"/>
      <c r="SXR18" s="15"/>
      <c r="SXW18" s="15"/>
      <c r="SYB18" s="15"/>
      <c r="SYG18" s="15"/>
      <c r="SYL18" s="15"/>
      <c r="SYQ18" s="15"/>
      <c r="SYV18" s="15"/>
      <c r="SZA18" s="15"/>
      <c r="SZF18" s="15"/>
      <c r="SZK18" s="15"/>
      <c r="SZP18" s="15"/>
      <c r="SZU18" s="15"/>
      <c r="SZZ18" s="15"/>
      <c r="TAE18" s="15"/>
      <c r="TAJ18" s="15"/>
      <c r="TAO18" s="15"/>
      <c r="TAT18" s="15"/>
      <c r="TAY18" s="15"/>
      <c r="TBD18" s="15"/>
      <c r="TBI18" s="15"/>
      <c r="TBN18" s="15"/>
      <c r="TBS18" s="15"/>
      <c r="TBX18" s="15"/>
      <c r="TCC18" s="15"/>
      <c r="TCH18" s="15"/>
      <c r="TCM18" s="15"/>
      <c r="TCR18" s="15"/>
      <c r="TCW18" s="15"/>
      <c r="TDB18" s="15"/>
      <c r="TDG18" s="15"/>
      <c r="TDL18" s="15"/>
      <c r="TDQ18" s="15"/>
      <c r="TDV18" s="15"/>
      <c r="TEA18" s="15"/>
      <c r="TEF18" s="15"/>
      <c r="TEK18" s="15"/>
      <c r="TEP18" s="15"/>
      <c r="TEU18" s="15"/>
      <c r="TEZ18" s="15"/>
      <c r="TFE18" s="15"/>
      <c r="TFJ18" s="15"/>
      <c r="TFO18" s="15"/>
      <c r="TFT18" s="15"/>
      <c r="TFY18" s="15"/>
      <c r="TGD18" s="15"/>
      <c r="TGI18" s="15"/>
      <c r="TGN18" s="15"/>
      <c r="TGS18" s="15"/>
      <c r="TGX18" s="15"/>
      <c r="THC18" s="15"/>
      <c r="THH18" s="15"/>
      <c r="THM18" s="15"/>
      <c r="THR18" s="15"/>
      <c r="THW18" s="15"/>
      <c r="TIB18" s="15"/>
      <c r="TIG18" s="15"/>
      <c r="TIL18" s="15"/>
      <c r="TIQ18" s="15"/>
      <c r="TIV18" s="15"/>
      <c r="TJA18" s="15"/>
      <c r="TJF18" s="15"/>
      <c r="TJK18" s="15"/>
      <c r="TJP18" s="15"/>
      <c r="TJU18" s="15"/>
      <c r="TJZ18" s="15"/>
      <c r="TKE18" s="15"/>
      <c r="TKJ18" s="15"/>
      <c r="TKO18" s="15"/>
      <c r="TKT18" s="15"/>
      <c r="TKY18" s="15"/>
      <c r="TLD18" s="15"/>
      <c r="TLI18" s="15"/>
      <c r="TLN18" s="15"/>
      <c r="TLS18" s="15"/>
      <c r="TLX18" s="15"/>
      <c r="TMC18" s="15"/>
      <c r="TMH18" s="15"/>
      <c r="TMM18" s="15"/>
      <c r="TMR18" s="15"/>
      <c r="TMW18" s="15"/>
      <c r="TNB18" s="15"/>
      <c r="TNG18" s="15"/>
      <c r="TNL18" s="15"/>
      <c r="TNQ18" s="15"/>
      <c r="TNV18" s="15"/>
      <c r="TOA18" s="15"/>
      <c r="TOF18" s="15"/>
      <c r="TOK18" s="15"/>
      <c r="TOP18" s="15"/>
      <c r="TOU18" s="15"/>
      <c r="TOZ18" s="15"/>
      <c r="TPE18" s="15"/>
      <c r="TPJ18" s="15"/>
      <c r="TPO18" s="15"/>
      <c r="TPT18" s="15"/>
      <c r="TPY18" s="15"/>
      <c r="TQD18" s="15"/>
      <c r="TQI18" s="15"/>
      <c r="TQN18" s="15"/>
      <c r="TQS18" s="15"/>
      <c r="TQX18" s="15"/>
      <c r="TRC18" s="15"/>
      <c r="TRH18" s="15"/>
      <c r="TRM18" s="15"/>
      <c r="TRR18" s="15"/>
      <c r="TRW18" s="15"/>
      <c r="TSB18" s="15"/>
      <c r="TSG18" s="15"/>
      <c r="TSL18" s="15"/>
      <c r="TSQ18" s="15"/>
      <c r="TSV18" s="15"/>
      <c r="TTA18" s="15"/>
      <c r="TTF18" s="15"/>
      <c r="TTK18" s="15"/>
      <c r="TTP18" s="15"/>
      <c r="TTU18" s="15"/>
      <c r="TTZ18" s="15"/>
      <c r="TUE18" s="15"/>
      <c r="TUJ18" s="15"/>
      <c r="TUO18" s="15"/>
      <c r="TUT18" s="15"/>
      <c r="TUY18" s="15"/>
      <c r="TVD18" s="15"/>
      <c r="TVI18" s="15"/>
      <c r="TVN18" s="15"/>
      <c r="TVS18" s="15"/>
      <c r="TVX18" s="15"/>
      <c r="TWC18" s="15"/>
      <c r="TWH18" s="15"/>
      <c r="TWM18" s="15"/>
      <c r="TWR18" s="15"/>
      <c r="TWW18" s="15"/>
      <c r="TXB18" s="15"/>
      <c r="TXG18" s="15"/>
      <c r="TXL18" s="15"/>
      <c r="TXQ18" s="15"/>
      <c r="TXV18" s="15"/>
      <c r="TYA18" s="15"/>
      <c r="TYF18" s="15"/>
      <c r="TYK18" s="15"/>
      <c r="TYP18" s="15"/>
      <c r="TYU18" s="15"/>
      <c r="TYZ18" s="15"/>
      <c r="TZE18" s="15"/>
      <c r="TZJ18" s="15"/>
      <c r="TZO18" s="15"/>
      <c r="TZT18" s="15"/>
      <c r="TZY18" s="15"/>
      <c r="UAD18" s="15"/>
      <c r="UAI18" s="15"/>
      <c r="UAN18" s="15"/>
      <c r="UAS18" s="15"/>
      <c r="UAX18" s="15"/>
      <c r="UBC18" s="15"/>
      <c r="UBH18" s="15"/>
      <c r="UBM18" s="15"/>
      <c r="UBR18" s="15"/>
      <c r="UBW18" s="15"/>
      <c r="UCB18" s="15"/>
      <c r="UCG18" s="15"/>
      <c r="UCL18" s="15"/>
      <c r="UCQ18" s="15"/>
      <c r="UCV18" s="15"/>
      <c r="UDA18" s="15"/>
      <c r="UDF18" s="15"/>
      <c r="UDK18" s="15"/>
      <c r="UDP18" s="15"/>
      <c r="UDU18" s="15"/>
      <c r="UDZ18" s="15"/>
      <c r="UEE18" s="15"/>
      <c r="UEJ18" s="15"/>
      <c r="UEO18" s="15"/>
      <c r="UET18" s="15"/>
      <c r="UEY18" s="15"/>
      <c r="UFD18" s="15"/>
      <c r="UFI18" s="15"/>
      <c r="UFN18" s="15"/>
      <c r="UFS18" s="15"/>
      <c r="UFX18" s="15"/>
      <c r="UGC18" s="15"/>
      <c r="UGH18" s="15"/>
      <c r="UGM18" s="15"/>
      <c r="UGR18" s="15"/>
      <c r="UGW18" s="15"/>
      <c r="UHB18" s="15"/>
      <c r="UHG18" s="15"/>
      <c r="UHL18" s="15"/>
      <c r="UHQ18" s="15"/>
      <c r="UHV18" s="15"/>
      <c r="UIA18" s="15"/>
      <c r="UIF18" s="15"/>
      <c r="UIK18" s="15"/>
      <c r="UIP18" s="15"/>
      <c r="UIU18" s="15"/>
      <c r="UIZ18" s="15"/>
      <c r="UJE18" s="15"/>
      <c r="UJJ18" s="15"/>
      <c r="UJO18" s="15"/>
      <c r="UJT18" s="15"/>
      <c r="UJY18" s="15"/>
      <c r="UKD18" s="15"/>
      <c r="UKI18" s="15"/>
      <c r="UKN18" s="15"/>
      <c r="UKS18" s="15"/>
      <c r="UKX18" s="15"/>
      <c r="ULC18" s="15"/>
      <c r="ULH18" s="15"/>
      <c r="ULM18" s="15"/>
      <c r="ULR18" s="15"/>
      <c r="ULW18" s="15"/>
      <c r="UMB18" s="15"/>
      <c r="UMG18" s="15"/>
      <c r="UML18" s="15"/>
      <c r="UMQ18" s="15"/>
      <c r="UMV18" s="15"/>
      <c r="UNA18" s="15"/>
      <c r="UNF18" s="15"/>
      <c r="UNK18" s="15"/>
      <c r="UNP18" s="15"/>
      <c r="UNU18" s="15"/>
      <c r="UNZ18" s="15"/>
      <c r="UOE18" s="15"/>
      <c r="UOJ18" s="15"/>
      <c r="UOO18" s="15"/>
      <c r="UOT18" s="15"/>
      <c r="UOY18" s="15"/>
      <c r="UPD18" s="15"/>
      <c r="UPI18" s="15"/>
      <c r="UPN18" s="15"/>
      <c r="UPS18" s="15"/>
      <c r="UPX18" s="15"/>
      <c r="UQC18" s="15"/>
      <c r="UQH18" s="15"/>
      <c r="UQM18" s="15"/>
      <c r="UQR18" s="15"/>
      <c r="UQW18" s="15"/>
      <c r="URB18" s="15"/>
      <c r="URG18" s="15"/>
      <c r="URL18" s="15"/>
      <c r="URQ18" s="15"/>
      <c r="URV18" s="15"/>
      <c r="USA18" s="15"/>
      <c r="USF18" s="15"/>
      <c r="USK18" s="15"/>
      <c r="USP18" s="15"/>
      <c r="USU18" s="15"/>
      <c r="USZ18" s="15"/>
      <c r="UTE18" s="15"/>
      <c r="UTJ18" s="15"/>
      <c r="UTO18" s="15"/>
      <c r="UTT18" s="15"/>
      <c r="UTY18" s="15"/>
      <c r="UUD18" s="15"/>
      <c r="UUI18" s="15"/>
      <c r="UUN18" s="15"/>
      <c r="UUS18" s="15"/>
      <c r="UUX18" s="15"/>
      <c r="UVC18" s="15"/>
      <c r="UVH18" s="15"/>
      <c r="UVM18" s="15"/>
      <c r="UVR18" s="15"/>
      <c r="UVW18" s="15"/>
      <c r="UWB18" s="15"/>
      <c r="UWG18" s="15"/>
      <c r="UWL18" s="15"/>
      <c r="UWQ18" s="15"/>
      <c r="UWV18" s="15"/>
      <c r="UXA18" s="15"/>
      <c r="UXF18" s="15"/>
      <c r="UXK18" s="15"/>
      <c r="UXP18" s="15"/>
      <c r="UXU18" s="15"/>
      <c r="UXZ18" s="15"/>
      <c r="UYE18" s="15"/>
      <c r="UYJ18" s="15"/>
      <c r="UYO18" s="15"/>
      <c r="UYT18" s="15"/>
      <c r="UYY18" s="15"/>
      <c r="UZD18" s="15"/>
      <c r="UZI18" s="15"/>
      <c r="UZN18" s="15"/>
      <c r="UZS18" s="15"/>
      <c r="UZX18" s="15"/>
      <c r="VAC18" s="15"/>
      <c r="VAH18" s="15"/>
      <c r="VAM18" s="15"/>
      <c r="VAR18" s="15"/>
      <c r="VAW18" s="15"/>
      <c r="VBB18" s="15"/>
      <c r="VBG18" s="15"/>
      <c r="VBL18" s="15"/>
      <c r="VBQ18" s="15"/>
      <c r="VBV18" s="15"/>
      <c r="VCA18" s="15"/>
      <c r="VCF18" s="15"/>
      <c r="VCK18" s="15"/>
      <c r="VCP18" s="15"/>
      <c r="VCU18" s="15"/>
      <c r="VCZ18" s="15"/>
      <c r="VDE18" s="15"/>
      <c r="VDJ18" s="15"/>
      <c r="VDO18" s="15"/>
      <c r="VDT18" s="15"/>
      <c r="VDY18" s="15"/>
      <c r="VED18" s="15"/>
      <c r="VEI18" s="15"/>
      <c r="VEN18" s="15"/>
      <c r="VES18" s="15"/>
      <c r="VEX18" s="15"/>
      <c r="VFC18" s="15"/>
      <c r="VFH18" s="15"/>
      <c r="VFM18" s="15"/>
      <c r="VFR18" s="15"/>
      <c r="VFW18" s="15"/>
      <c r="VGB18" s="15"/>
      <c r="VGG18" s="15"/>
      <c r="VGL18" s="15"/>
      <c r="VGQ18" s="15"/>
      <c r="VGV18" s="15"/>
      <c r="VHA18" s="15"/>
      <c r="VHF18" s="15"/>
      <c r="VHK18" s="15"/>
      <c r="VHP18" s="15"/>
      <c r="VHU18" s="15"/>
      <c r="VHZ18" s="15"/>
      <c r="VIE18" s="15"/>
      <c r="VIJ18" s="15"/>
      <c r="VIO18" s="15"/>
      <c r="VIT18" s="15"/>
      <c r="VIY18" s="15"/>
      <c r="VJD18" s="15"/>
      <c r="VJI18" s="15"/>
      <c r="VJN18" s="15"/>
      <c r="VJS18" s="15"/>
      <c r="VJX18" s="15"/>
      <c r="VKC18" s="15"/>
      <c r="VKH18" s="15"/>
      <c r="VKM18" s="15"/>
      <c r="VKR18" s="15"/>
      <c r="VKW18" s="15"/>
      <c r="VLB18" s="15"/>
      <c r="VLG18" s="15"/>
      <c r="VLL18" s="15"/>
      <c r="VLQ18" s="15"/>
      <c r="VLV18" s="15"/>
      <c r="VMA18" s="15"/>
      <c r="VMF18" s="15"/>
      <c r="VMK18" s="15"/>
      <c r="VMP18" s="15"/>
      <c r="VMU18" s="15"/>
      <c r="VMZ18" s="15"/>
      <c r="VNE18" s="15"/>
      <c r="VNJ18" s="15"/>
      <c r="VNO18" s="15"/>
      <c r="VNT18" s="15"/>
      <c r="VNY18" s="15"/>
      <c r="VOD18" s="15"/>
      <c r="VOI18" s="15"/>
      <c r="VON18" s="15"/>
      <c r="VOS18" s="15"/>
      <c r="VOX18" s="15"/>
      <c r="VPC18" s="15"/>
      <c r="VPH18" s="15"/>
      <c r="VPM18" s="15"/>
      <c r="VPR18" s="15"/>
      <c r="VPW18" s="15"/>
      <c r="VQB18" s="15"/>
      <c r="VQG18" s="15"/>
      <c r="VQL18" s="15"/>
      <c r="VQQ18" s="15"/>
      <c r="VQV18" s="15"/>
      <c r="VRA18" s="15"/>
      <c r="VRF18" s="15"/>
      <c r="VRK18" s="15"/>
      <c r="VRP18" s="15"/>
      <c r="VRU18" s="15"/>
      <c r="VRZ18" s="15"/>
      <c r="VSE18" s="15"/>
      <c r="VSJ18" s="15"/>
      <c r="VSO18" s="15"/>
      <c r="VST18" s="15"/>
      <c r="VSY18" s="15"/>
      <c r="VTD18" s="15"/>
      <c r="VTI18" s="15"/>
      <c r="VTN18" s="15"/>
      <c r="VTS18" s="15"/>
      <c r="VTX18" s="15"/>
      <c r="VUC18" s="15"/>
      <c r="VUH18" s="15"/>
      <c r="VUM18" s="15"/>
      <c r="VUR18" s="15"/>
      <c r="VUW18" s="15"/>
      <c r="VVB18" s="15"/>
      <c r="VVG18" s="15"/>
      <c r="VVL18" s="15"/>
      <c r="VVQ18" s="15"/>
      <c r="VVV18" s="15"/>
      <c r="VWA18" s="15"/>
      <c r="VWF18" s="15"/>
      <c r="VWK18" s="15"/>
      <c r="VWP18" s="15"/>
      <c r="VWU18" s="15"/>
      <c r="VWZ18" s="15"/>
      <c r="VXE18" s="15"/>
      <c r="VXJ18" s="15"/>
      <c r="VXO18" s="15"/>
      <c r="VXT18" s="15"/>
      <c r="VXY18" s="15"/>
      <c r="VYD18" s="15"/>
      <c r="VYI18" s="15"/>
      <c r="VYN18" s="15"/>
      <c r="VYS18" s="15"/>
      <c r="VYX18" s="15"/>
      <c r="VZC18" s="15"/>
      <c r="VZH18" s="15"/>
      <c r="VZM18" s="15"/>
      <c r="VZR18" s="15"/>
      <c r="VZW18" s="15"/>
      <c r="WAB18" s="15"/>
      <c r="WAG18" s="15"/>
      <c r="WAL18" s="15"/>
      <c r="WAQ18" s="15"/>
      <c r="WAV18" s="15"/>
      <c r="WBA18" s="15"/>
      <c r="WBF18" s="15"/>
      <c r="WBK18" s="15"/>
      <c r="WBP18" s="15"/>
      <c r="WBU18" s="15"/>
      <c r="WBZ18" s="15"/>
      <c r="WCE18" s="15"/>
      <c r="WCJ18" s="15"/>
      <c r="WCO18" s="15"/>
      <c r="WCT18" s="15"/>
      <c r="WCY18" s="15"/>
      <c r="WDD18" s="15"/>
      <c r="WDI18" s="15"/>
      <c r="WDN18" s="15"/>
      <c r="WDS18" s="15"/>
      <c r="WDX18" s="15"/>
      <c r="WEC18" s="15"/>
      <c r="WEH18" s="15"/>
      <c r="WEM18" s="15"/>
      <c r="WER18" s="15"/>
      <c r="WEW18" s="15"/>
      <c r="WFB18" s="15"/>
      <c r="WFG18" s="15"/>
      <c r="WFL18" s="15"/>
      <c r="WFQ18" s="15"/>
      <c r="WFV18" s="15"/>
      <c r="WGA18" s="15"/>
      <c r="WGF18" s="15"/>
      <c r="WGK18" s="15"/>
      <c r="WGP18" s="15"/>
      <c r="WGU18" s="15"/>
      <c r="WGZ18" s="15"/>
      <c r="WHE18" s="15"/>
      <c r="WHJ18" s="15"/>
      <c r="WHO18" s="15"/>
      <c r="WHT18" s="15"/>
      <c r="WHY18" s="15"/>
      <c r="WID18" s="15"/>
      <c r="WII18" s="15"/>
      <c r="WIN18" s="15"/>
      <c r="WIS18" s="15"/>
      <c r="WIX18" s="15"/>
      <c r="WJC18" s="15"/>
      <c r="WJH18" s="15"/>
      <c r="WJM18" s="15"/>
      <c r="WJR18" s="15"/>
      <c r="WJW18" s="15"/>
      <c r="WKB18" s="15"/>
      <c r="WKG18" s="15"/>
      <c r="WKL18" s="15"/>
      <c r="WKQ18" s="15"/>
      <c r="WKV18" s="15"/>
      <c r="WLA18" s="15"/>
      <c r="WLF18" s="15"/>
      <c r="WLK18" s="15"/>
      <c r="WLP18" s="15"/>
      <c r="WLU18" s="15"/>
      <c r="WLZ18" s="15"/>
      <c r="WME18" s="15"/>
      <c r="WMJ18" s="15"/>
      <c r="WMO18" s="15"/>
      <c r="WMT18" s="15"/>
      <c r="WMY18" s="15"/>
      <c r="WND18" s="15"/>
      <c r="WNI18" s="15"/>
      <c r="WNN18" s="15"/>
      <c r="WNS18" s="15"/>
      <c r="WNX18" s="15"/>
      <c r="WOC18" s="15"/>
      <c r="WOH18" s="15"/>
      <c r="WOM18" s="15"/>
      <c r="WOR18" s="15"/>
      <c r="WOW18" s="15"/>
      <c r="WPB18" s="15"/>
      <c r="WPG18" s="15"/>
      <c r="WPL18" s="15"/>
      <c r="WPQ18" s="15"/>
      <c r="WPV18" s="15"/>
      <c r="WQA18" s="15"/>
      <c r="WQF18" s="15"/>
      <c r="WQK18" s="15"/>
      <c r="WQP18" s="15"/>
      <c r="WQU18" s="15"/>
      <c r="WQZ18" s="15"/>
      <c r="WRE18" s="15"/>
      <c r="WRJ18" s="15"/>
      <c r="WRO18" s="15"/>
      <c r="WRT18" s="15"/>
      <c r="WRY18" s="15"/>
      <c r="WSD18" s="15"/>
      <c r="WSI18" s="15"/>
      <c r="WSN18" s="15"/>
      <c r="WSS18" s="15"/>
      <c r="WSX18" s="15"/>
      <c r="WTC18" s="15"/>
      <c r="WTH18" s="15"/>
      <c r="WTM18" s="15"/>
      <c r="WTR18" s="15"/>
      <c r="WTW18" s="15"/>
      <c r="WUB18" s="15"/>
      <c r="WUG18" s="15"/>
      <c r="WUL18" s="15"/>
      <c r="WUQ18" s="15"/>
      <c r="WUV18" s="15"/>
      <c r="WVA18" s="15"/>
      <c r="WVF18" s="15"/>
      <c r="WVK18" s="15"/>
      <c r="WVP18" s="15"/>
      <c r="WVU18" s="15"/>
      <c r="WVZ18" s="15"/>
      <c r="WWE18" s="15"/>
      <c r="WWJ18" s="15"/>
      <c r="WWO18" s="15"/>
      <c r="WWT18" s="15"/>
      <c r="WWY18" s="15"/>
      <c r="WXD18" s="15"/>
      <c r="WXI18" s="15"/>
      <c r="WXN18" s="15"/>
      <c r="WXS18" s="15"/>
      <c r="WXX18" s="15"/>
      <c r="WYC18" s="15"/>
      <c r="WYH18" s="15"/>
      <c r="WYM18" s="15"/>
      <c r="WYR18" s="15"/>
      <c r="WYW18" s="15"/>
      <c r="WZB18" s="15"/>
      <c r="WZG18" s="15"/>
      <c r="WZL18" s="15"/>
      <c r="WZQ18" s="15"/>
      <c r="WZV18" s="15"/>
      <c r="XAA18" s="15"/>
      <c r="XAF18" s="15"/>
      <c r="XAK18" s="15"/>
      <c r="XAP18" s="15"/>
      <c r="XAU18" s="15"/>
      <c r="XAZ18" s="15"/>
      <c r="XBE18" s="15"/>
      <c r="XBJ18" s="15"/>
      <c r="XBO18" s="15"/>
      <c r="XBT18" s="15"/>
      <c r="XBY18" s="15"/>
      <c r="XCD18" s="15"/>
      <c r="XCI18" s="15"/>
      <c r="XCN18" s="15"/>
      <c r="XCS18" s="15"/>
      <c r="XCX18" s="15"/>
      <c r="XDC18" s="15"/>
      <c r="XDH18" s="15"/>
      <c r="XDM18" s="15"/>
      <c r="XDR18" s="15"/>
      <c r="XDW18" s="15"/>
      <c r="XEB18" s="15"/>
      <c r="XEG18" s="15"/>
      <c r="XEL18" s="15"/>
      <c r="XEQ18" s="15"/>
      <c r="XEV18" s="15"/>
      <c r="XFA18" s="15"/>
    </row>
    <row r="19" spans="1:1021 1026:2046 2051:3071 3076:4096 4101:5116 5121:6141 6146:7166 7171:8191 8196:9216 9221:10236 10241:11261 11266:12286 12291:13311 13316:14336 14341:15356 15361:16381" ht="15.6">
      <c r="A19" s="28" t="s">
        <v>24</v>
      </c>
    </row>
  </sheetData>
  <pageMargins left="0.7" right="0.7" top="0.75" bottom="0.75" header="0.3" footer="0.3"/>
  <pageSetup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19466-6961-4AB4-B9C4-458B349D5C24}">
  <sheetPr codeName="Sheet12"/>
  <dimension ref="A1:M18"/>
  <sheetViews>
    <sheetView topLeftCell="A14" workbookViewId="0"/>
  </sheetViews>
  <sheetFormatPr defaultColWidth="8.77734375" defaultRowHeight="14.4"/>
  <cols>
    <col min="1" max="1" width="23.5546875" style="5" customWidth="1"/>
    <col min="2" max="16384" width="8.77734375" style="5"/>
  </cols>
  <sheetData>
    <row r="1" spans="1:13" ht="17.399999999999999">
      <c r="A1" s="3" t="s">
        <v>103</v>
      </c>
      <c r="B1" s="4"/>
      <c r="C1" s="4"/>
      <c r="D1" s="4"/>
      <c r="E1" s="4"/>
      <c r="F1" s="4"/>
      <c r="G1" s="4"/>
      <c r="H1" s="4"/>
      <c r="I1" s="4"/>
      <c r="J1" s="4"/>
      <c r="K1" s="4"/>
      <c r="L1" s="4"/>
      <c r="M1" s="4"/>
    </row>
    <row r="2" spans="1:13" ht="15.6">
      <c r="A2" s="6" t="s">
        <v>85</v>
      </c>
      <c r="B2" s="4"/>
      <c r="C2" s="4"/>
      <c r="D2" s="4"/>
      <c r="E2" s="4"/>
      <c r="F2" s="4"/>
      <c r="G2" s="4"/>
      <c r="H2" s="4"/>
      <c r="I2" s="4"/>
      <c r="J2" s="4"/>
      <c r="K2" s="4"/>
      <c r="L2" s="4"/>
      <c r="M2" s="4"/>
    </row>
    <row r="3" spans="1:13" ht="15.6">
      <c r="A3" s="6" t="s">
        <v>104</v>
      </c>
      <c r="B3" s="4"/>
      <c r="C3" s="4"/>
      <c r="D3" s="4"/>
      <c r="E3" s="4"/>
      <c r="F3" s="4"/>
      <c r="G3" s="4"/>
      <c r="H3" s="4"/>
      <c r="I3" s="4"/>
      <c r="J3" s="4"/>
      <c r="K3" s="4"/>
      <c r="L3" s="4"/>
      <c r="M3" s="4"/>
    </row>
    <row r="4" spans="1:13">
      <c r="A4" s="4"/>
      <c r="B4" s="4"/>
      <c r="C4" s="4"/>
      <c r="D4" s="4"/>
      <c r="E4" s="4"/>
      <c r="F4" s="4"/>
      <c r="G4" s="4"/>
      <c r="H4" s="4"/>
      <c r="I4" s="4"/>
      <c r="J4" s="4"/>
      <c r="K4" s="4"/>
      <c r="L4" s="4"/>
      <c r="M4" s="4"/>
    </row>
    <row r="5" spans="1:13" ht="15.6">
      <c r="A5" s="15" t="s">
        <v>105</v>
      </c>
      <c r="B5" s="16"/>
      <c r="C5" s="16"/>
      <c r="D5" s="16"/>
      <c r="E5" s="16"/>
      <c r="F5" s="16"/>
      <c r="G5" s="16"/>
      <c r="H5" s="4"/>
      <c r="I5" s="4"/>
      <c r="J5" s="4"/>
      <c r="K5" s="4"/>
      <c r="L5" s="4"/>
      <c r="M5" s="4"/>
    </row>
    <row r="6" spans="1:13" ht="15.6">
      <c r="A6" s="15"/>
      <c r="B6" s="16"/>
      <c r="C6" s="16"/>
      <c r="D6" s="16"/>
      <c r="E6" s="16"/>
      <c r="F6" s="16"/>
      <c r="G6" s="16"/>
      <c r="H6" s="4"/>
      <c r="I6" s="4"/>
      <c r="J6" s="4"/>
      <c r="K6" s="4"/>
      <c r="L6" s="4"/>
      <c r="M6" s="4"/>
    </row>
    <row r="7" spans="1:13" ht="15.6">
      <c r="A7" s="36" t="s">
        <v>106</v>
      </c>
      <c r="B7" s="16"/>
      <c r="C7" s="16"/>
      <c r="D7" s="16"/>
      <c r="E7" s="16"/>
      <c r="F7" s="16"/>
      <c r="G7" s="16"/>
      <c r="H7" s="4"/>
      <c r="I7" s="4"/>
      <c r="J7" s="4"/>
      <c r="K7" s="4"/>
      <c r="L7" s="4"/>
      <c r="M7" s="4"/>
    </row>
    <row r="8" spans="1:13" ht="15.6">
      <c r="A8" s="36" t="s">
        <v>107</v>
      </c>
      <c r="B8" s="16"/>
      <c r="C8" s="16"/>
      <c r="D8" s="16"/>
      <c r="E8" s="16"/>
      <c r="F8" s="16"/>
      <c r="G8" s="16"/>
      <c r="H8" s="4"/>
      <c r="I8" s="4"/>
      <c r="J8" s="4"/>
      <c r="K8" s="4"/>
      <c r="L8" s="4"/>
      <c r="M8" s="4"/>
    </row>
    <row r="9" spans="1:13" ht="15.6">
      <c r="A9" s="36" t="s">
        <v>108</v>
      </c>
      <c r="B9" s="16"/>
      <c r="C9" s="16"/>
      <c r="D9" s="16"/>
      <c r="E9" s="16"/>
      <c r="F9" s="16"/>
      <c r="G9" s="16"/>
      <c r="H9" s="4"/>
      <c r="I9" s="4"/>
      <c r="J9" s="4"/>
      <c r="K9" s="4"/>
      <c r="L9" s="4"/>
      <c r="M9" s="4"/>
    </row>
    <row r="10" spans="1:13" ht="16.2" thickBot="1">
      <c r="A10" s="9"/>
      <c r="B10" s="16"/>
      <c r="C10" s="16"/>
      <c r="D10" s="16"/>
      <c r="E10" s="16"/>
      <c r="F10" s="16"/>
      <c r="G10" s="16"/>
      <c r="H10" s="4"/>
      <c r="I10" s="4"/>
      <c r="J10" s="4"/>
      <c r="K10" s="4"/>
      <c r="L10" s="4"/>
      <c r="M10" s="4"/>
    </row>
    <row r="11" spans="1:13" ht="33.6" customHeight="1" thickBot="1">
      <c r="A11" s="11" t="s">
        <v>109</v>
      </c>
      <c r="B11" s="18">
        <v>2017</v>
      </c>
      <c r="C11" s="18">
        <v>2018</v>
      </c>
      <c r="D11" s="18">
        <v>2019</v>
      </c>
      <c r="E11" s="18">
        <v>2020</v>
      </c>
      <c r="F11" s="18">
        <v>2021</v>
      </c>
      <c r="G11" s="18">
        <v>2022</v>
      </c>
      <c r="H11" s="4"/>
      <c r="I11" s="4"/>
      <c r="J11" s="4"/>
      <c r="K11" s="4"/>
      <c r="L11" s="4"/>
      <c r="M11" s="4"/>
    </row>
    <row r="12" spans="1:13" ht="30.6" customHeight="1" thickBot="1">
      <c r="A12" s="29" t="s">
        <v>110</v>
      </c>
      <c r="B12" s="14">
        <v>500</v>
      </c>
      <c r="C12" s="14">
        <v>250</v>
      </c>
      <c r="D12" s="14">
        <v>0</v>
      </c>
      <c r="E12" s="14">
        <v>0</v>
      </c>
      <c r="F12" s="14">
        <v>0</v>
      </c>
      <c r="G12" s="14">
        <v>0</v>
      </c>
      <c r="H12" s="4"/>
      <c r="I12" s="4"/>
      <c r="J12" s="4"/>
      <c r="K12" s="4"/>
      <c r="L12" s="4"/>
      <c r="M12" s="4"/>
    </row>
    <row r="13" spans="1:13" ht="25.5" customHeight="1" thickBot="1">
      <c r="A13" s="29" t="s">
        <v>111</v>
      </c>
      <c r="B13" s="46">
        <v>0.1</v>
      </c>
      <c r="C13" s="46">
        <v>0.1</v>
      </c>
      <c r="D13" s="46">
        <v>0.1</v>
      </c>
      <c r="E13" s="46">
        <v>0.1</v>
      </c>
      <c r="F13" s="46">
        <v>0.1</v>
      </c>
      <c r="G13" s="46">
        <v>1</v>
      </c>
      <c r="H13" s="4"/>
      <c r="I13" s="4"/>
      <c r="J13" s="4"/>
      <c r="K13" s="4"/>
      <c r="L13" s="4"/>
      <c r="M13" s="4"/>
    </row>
    <row r="14" spans="1:13" ht="33.6" customHeight="1" thickBot="1">
      <c r="A14" s="29" t="s">
        <v>112</v>
      </c>
      <c r="B14" s="14">
        <v>700</v>
      </c>
      <c r="C14" s="14">
        <v>500</v>
      </c>
      <c r="D14" s="14">
        <v>300</v>
      </c>
      <c r="E14" s="14" t="s">
        <v>113</v>
      </c>
      <c r="F14" s="14" t="s">
        <v>113</v>
      </c>
      <c r="G14" s="14" t="s">
        <v>113</v>
      </c>
      <c r="H14" s="4"/>
      <c r="I14" s="4"/>
      <c r="J14" s="4"/>
      <c r="K14" s="4"/>
      <c r="L14" s="4"/>
      <c r="M14" s="4"/>
    </row>
    <row r="15" spans="1:13" ht="15.6">
      <c r="A15" s="15"/>
      <c r="B15" s="16"/>
      <c r="C15" s="16"/>
      <c r="D15" s="16"/>
      <c r="E15" s="16"/>
      <c r="F15" s="16"/>
      <c r="G15" s="16"/>
      <c r="H15" s="4"/>
      <c r="I15" s="4"/>
      <c r="J15" s="4"/>
      <c r="K15" s="4"/>
      <c r="L15" s="4"/>
      <c r="M15" s="4"/>
    </row>
    <row r="16" spans="1:13" ht="15.6">
      <c r="A16" s="15" t="s">
        <v>114</v>
      </c>
      <c r="B16" s="16"/>
      <c r="C16" s="16"/>
      <c r="D16" s="16"/>
      <c r="E16" s="16"/>
      <c r="F16" s="16"/>
      <c r="G16" s="16"/>
      <c r="H16" s="4"/>
      <c r="I16" s="4"/>
      <c r="J16" s="4"/>
      <c r="K16" s="4"/>
      <c r="L16" s="4"/>
      <c r="M16" s="4"/>
    </row>
    <row r="17" spans="1:13" ht="15.6">
      <c r="A17" s="15" t="s">
        <v>116</v>
      </c>
      <c r="B17" s="4"/>
      <c r="C17" s="4"/>
      <c r="D17" s="4"/>
      <c r="E17" s="4"/>
      <c r="F17" s="4"/>
      <c r="G17" s="4"/>
      <c r="H17" s="4"/>
      <c r="I17" s="4"/>
      <c r="J17" s="4"/>
      <c r="K17" s="4"/>
      <c r="L17" s="4"/>
      <c r="M17" s="4"/>
    </row>
    <row r="18" spans="1:13" ht="15.6">
      <c r="A18" s="28" t="s">
        <v>24</v>
      </c>
    </row>
  </sheetData>
  <pageMargins left="0.7" right="0.7" top="0.75" bottom="0.75" header="0.3" footer="0.3"/>
  <pageSetup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3B153-1B33-47EA-978F-6899DDB700E3}">
  <sheetPr codeName="Sheet13"/>
  <dimension ref="A1:M24"/>
  <sheetViews>
    <sheetView workbookViewId="0"/>
  </sheetViews>
  <sheetFormatPr defaultColWidth="8.77734375" defaultRowHeight="14.4"/>
  <cols>
    <col min="1" max="1" width="23.5546875" style="5" customWidth="1"/>
    <col min="2" max="16384" width="8.77734375" style="5"/>
  </cols>
  <sheetData>
    <row r="1" spans="1:13" ht="17.399999999999999">
      <c r="A1" s="3" t="s">
        <v>103</v>
      </c>
      <c r="B1" s="4"/>
      <c r="C1" s="4"/>
      <c r="D1" s="4"/>
      <c r="E1" s="4"/>
      <c r="F1" s="4"/>
      <c r="G1" s="4"/>
      <c r="H1" s="4"/>
      <c r="I1" s="4"/>
      <c r="J1" s="4"/>
      <c r="K1" s="4"/>
      <c r="L1" s="4"/>
      <c r="M1" s="4"/>
    </row>
    <row r="2" spans="1:13" ht="15.6">
      <c r="A2" s="6" t="s">
        <v>85</v>
      </c>
      <c r="B2" s="4"/>
      <c r="C2" s="4"/>
      <c r="D2" s="4"/>
      <c r="E2" s="4"/>
      <c r="F2" s="4"/>
      <c r="G2" s="4"/>
      <c r="H2" s="4"/>
      <c r="I2" s="4"/>
      <c r="J2" s="4"/>
      <c r="K2" s="4"/>
      <c r="L2" s="4"/>
      <c r="M2" s="4"/>
    </row>
    <row r="3" spans="1:13" ht="15.6">
      <c r="A3" s="6" t="s">
        <v>104</v>
      </c>
      <c r="B3" s="4"/>
      <c r="C3" s="4"/>
      <c r="D3" s="4"/>
      <c r="E3" s="4"/>
      <c r="F3" s="4"/>
      <c r="G3" s="4"/>
      <c r="H3" s="4"/>
      <c r="I3" s="4"/>
      <c r="J3" s="4"/>
      <c r="K3" s="4"/>
      <c r="L3" s="4"/>
      <c r="M3" s="4"/>
    </row>
    <row r="4" spans="1:13">
      <c r="A4" s="4"/>
      <c r="B4" s="4"/>
      <c r="C4" s="4"/>
      <c r="D4" s="4"/>
      <c r="E4" s="4"/>
      <c r="F4" s="4"/>
      <c r="G4" s="4"/>
      <c r="H4" s="4"/>
      <c r="I4" s="4"/>
      <c r="J4" s="4"/>
      <c r="K4" s="4"/>
      <c r="L4" s="4"/>
      <c r="M4" s="4"/>
    </row>
    <row r="5" spans="1:13" ht="15.6">
      <c r="A5" s="15" t="s">
        <v>105</v>
      </c>
      <c r="B5" s="16"/>
      <c r="C5" s="16"/>
      <c r="D5" s="16"/>
      <c r="E5" s="16"/>
      <c r="F5" s="16"/>
      <c r="G5" s="16"/>
      <c r="H5" s="4"/>
      <c r="I5" s="4"/>
      <c r="J5" s="4"/>
      <c r="K5" s="4"/>
      <c r="L5" s="4"/>
      <c r="M5" s="4"/>
    </row>
    <row r="6" spans="1:13" ht="15.6">
      <c r="A6" s="15"/>
      <c r="B6" s="16"/>
      <c r="C6" s="16"/>
      <c r="D6" s="16"/>
      <c r="E6" s="16"/>
      <c r="F6" s="16"/>
      <c r="G6" s="16"/>
      <c r="H6" s="4"/>
      <c r="I6" s="4"/>
      <c r="J6" s="4"/>
      <c r="K6" s="4"/>
      <c r="L6" s="4"/>
      <c r="M6" s="4"/>
    </row>
    <row r="7" spans="1:13" ht="15.6">
      <c r="A7" s="36" t="s">
        <v>106</v>
      </c>
      <c r="B7" s="16"/>
      <c r="C7" s="16"/>
      <c r="D7" s="16"/>
      <c r="E7" s="16"/>
      <c r="F7" s="16"/>
      <c r="G7" s="16"/>
      <c r="H7" s="4"/>
      <c r="I7" s="4"/>
      <c r="J7" s="4"/>
      <c r="K7" s="4"/>
      <c r="L7" s="4"/>
      <c r="M7" s="4"/>
    </row>
    <row r="8" spans="1:13" ht="15.6">
      <c r="A8" s="36" t="s">
        <v>107</v>
      </c>
      <c r="B8" s="16"/>
      <c r="C8" s="16"/>
      <c r="D8" s="16"/>
      <c r="E8" s="16"/>
      <c r="F8" s="16"/>
      <c r="G8" s="16"/>
      <c r="H8" s="4"/>
      <c r="I8" s="4"/>
      <c r="J8" s="4"/>
      <c r="K8" s="4"/>
      <c r="L8" s="4"/>
      <c r="M8" s="4"/>
    </row>
    <row r="9" spans="1:13" ht="15.6">
      <c r="A9" s="36" t="s">
        <v>108</v>
      </c>
      <c r="B9" s="16"/>
      <c r="C9" s="16"/>
      <c r="D9" s="16"/>
      <c r="E9" s="16"/>
      <c r="F9" s="16"/>
      <c r="G9" s="16"/>
      <c r="H9" s="4"/>
      <c r="I9" s="4"/>
      <c r="J9" s="4"/>
      <c r="K9" s="4"/>
      <c r="L9" s="4"/>
      <c r="M9" s="4"/>
    </row>
    <row r="10" spans="1:13" ht="16.2" thickBot="1">
      <c r="A10" s="9"/>
      <c r="B10" s="16"/>
      <c r="C10" s="16"/>
      <c r="D10" s="16"/>
      <c r="E10" s="16"/>
      <c r="F10" s="16"/>
      <c r="G10" s="16"/>
      <c r="H10" s="4"/>
      <c r="I10" s="4"/>
      <c r="J10" s="4"/>
      <c r="K10" s="4"/>
      <c r="L10" s="4"/>
      <c r="M10" s="4"/>
    </row>
    <row r="11" spans="1:13" ht="33.6" customHeight="1" thickBot="1">
      <c r="A11" s="11" t="s">
        <v>109</v>
      </c>
      <c r="B11" s="18">
        <v>2017</v>
      </c>
      <c r="C11" s="18">
        <v>2018</v>
      </c>
      <c r="D11" s="18">
        <v>2019</v>
      </c>
      <c r="E11" s="18">
        <v>2020</v>
      </c>
      <c r="F11" s="18">
        <v>2021</v>
      </c>
      <c r="G11" s="18">
        <v>2022</v>
      </c>
      <c r="H11" s="4"/>
      <c r="I11" s="4"/>
      <c r="J11" s="4"/>
      <c r="K11" s="4"/>
      <c r="L11" s="4"/>
      <c r="M11" s="4"/>
    </row>
    <row r="12" spans="1:13" ht="30.6" customHeight="1" thickBot="1">
      <c r="A12" s="29" t="s">
        <v>110</v>
      </c>
      <c r="B12" s="14">
        <v>500</v>
      </c>
      <c r="C12" s="14">
        <v>250</v>
      </c>
      <c r="D12" s="14">
        <v>0</v>
      </c>
      <c r="E12" s="14">
        <v>0</v>
      </c>
      <c r="F12" s="14">
        <v>0</v>
      </c>
      <c r="G12" s="14">
        <v>0</v>
      </c>
      <c r="H12" s="4"/>
      <c r="I12" s="4"/>
      <c r="J12" s="4"/>
      <c r="K12" s="4"/>
      <c r="L12" s="4"/>
      <c r="M12" s="4"/>
    </row>
    <row r="13" spans="1:13" ht="25.5" customHeight="1" thickBot="1">
      <c r="A13" s="29" t="s">
        <v>111</v>
      </c>
      <c r="B13" s="46">
        <v>0.1</v>
      </c>
      <c r="C13" s="46">
        <v>0.1</v>
      </c>
      <c r="D13" s="46">
        <v>0.1</v>
      </c>
      <c r="E13" s="46">
        <v>0.1</v>
      </c>
      <c r="F13" s="46">
        <v>0.1</v>
      </c>
      <c r="G13" s="46">
        <v>1</v>
      </c>
      <c r="H13" s="4"/>
      <c r="I13" s="4"/>
      <c r="J13" s="4"/>
      <c r="K13" s="4"/>
      <c r="L13" s="4"/>
      <c r="M13" s="4"/>
    </row>
    <row r="14" spans="1:13" ht="33.6" customHeight="1" thickBot="1">
      <c r="A14" s="29" t="s">
        <v>112</v>
      </c>
      <c r="B14" s="14">
        <v>700</v>
      </c>
      <c r="C14" s="14">
        <v>500</v>
      </c>
      <c r="D14" s="14">
        <v>300</v>
      </c>
      <c r="E14" s="14" t="s">
        <v>113</v>
      </c>
      <c r="F14" s="14" t="s">
        <v>113</v>
      </c>
      <c r="G14" s="14" t="s">
        <v>113</v>
      </c>
      <c r="H14" s="4"/>
      <c r="I14" s="4"/>
      <c r="J14" s="4"/>
      <c r="K14" s="4"/>
      <c r="L14" s="4"/>
      <c r="M14" s="4"/>
    </row>
    <row r="15" spans="1:13" ht="15.6">
      <c r="A15" s="15"/>
      <c r="B15" s="16"/>
      <c r="C15" s="16"/>
      <c r="D15" s="16"/>
      <c r="E15" s="16"/>
      <c r="F15" s="16"/>
      <c r="G15" s="16"/>
      <c r="H15" s="4"/>
      <c r="I15" s="4"/>
      <c r="J15" s="4"/>
      <c r="K15" s="4"/>
      <c r="L15" s="4"/>
      <c r="M15" s="4"/>
    </row>
    <row r="17" spans="1:13" ht="15.6">
      <c r="A17" s="15" t="s">
        <v>117</v>
      </c>
      <c r="B17" s="4"/>
      <c r="C17" s="4"/>
      <c r="D17" s="4"/>
      <c r="E17" s="4"/>
      <c r="F17" s="4"/>
      <c r="G17" s="4"/>
      <c r="H17" s="4"/>
      <c r="I17" s="4"/>
      <c r="J17" s="4"/>
      <c r="K17" s="4"/>
      <c r="L17" s="4"/>
      <c r="M17" s="4"/>
    </row>
    <row r="18" spans="1:13" ht="15.6">
      <c r="A18" s="36" t="s">
        <v>118</v>
      </c>
      <c r="B18" s="4"/>
      <c r="C18" s="4"/>
      <c r="D18" s="4"/>
      <c r="E18" s="4"/>
      <c r="F18" s="4"/>
      <c r="G18" s="4"/>
      <c r="H18" s="4"/>
      <c r="I18" s="4"/>
      <c r="J18" s="4"/>
      <c r="K18" s="4"/>
      <c r="L18" s="4"/>
      <c r="M18" s="4"/>
    </row>
    <row r="19" spans="1:13" ht="15.6">
      <c r="A19" s="36" t="s">
        <v>119</v>
      </c>
      <c r="B19" s="4"/>
      <c r="C19" s="4"/>
      <c r="D19" s="4"/>
      <c r="E19" s="4"/>
      <c r="F19" s="4"/>
      <c r="G19" s="4"/>
      <c r="H19" s="4"/>
      <c r="I19" s="4"/>
      <c r="J19" s="4"/>
      <c r="K19" s="4"/>
      <c r="L19" s="4"/>
      <c r="M19" s="4"/>
    </row>
    <row r="20" spans="1:13" ht="15.6">
      <c r="A20" s="36" t="s">
        <v>120</v>
      </c>
      <c r="B20" s="4"/>
      <c r="C20" s="4"/>
      <c r="D20" s="4"/>
      <c r="E20" s="4"/>
      <c r="F20" s="4"/>
      <c r="G20" s="4"/>
      <c r="H20" s="4"/>
      <c r="I20" s="4"/>
      <c r="J20" s="4"/>
      <c r="K20" s="4"/>
      <c r="L20" s="4"/>
      <c r="M20" s="4"/>
    </row>
    <row r="21" spans="1:13" ht="15.6">
      <c r="A21" s="47"/>
      <c r="B21" s="4"/>
      <c r="C21" s="4"/>
      <c r="D21" s="4"/>
      <c r="E21" s="4"/>
      <c r="F21" s="4"/>
      <c r="G21" s="4"/>
      <c r="H21" s="4"/>
      <c r="I21" s="4"/>
      <c r="J21" s="4"/>
      <c r="K21" s="4"/>
      <c r="L21" s="4"/>
      <c r="M21" s="4"/>
    </row>
    <row r="22" spans="1:13" ht="15.6">
      <c r="A22" s="15" t="s">
        <v>121</v>
      </c>
      <c r="B22" s="4"/>
      <c r="C22" s="4"/>
      <c r="D22" s="4"/>
      <c r="E22" s="4"/>
      <c r="F22" s="4"/>
      <c r="G22" s="4"/>
      <c r="H22" s="4"/>
      <c r="I22" s="4"/>
      <c r="J22" s="4"/>
      <c r="K22" s="4"/>
      <c r="L22" s="4"/>
      <c r="M22" s="4"/>
    </row>
    <row r="23" spans="1:13" ht="15.6">
      <c r="A23" s="15" t="s">
        <v>37</v>
      </c>
      <c r="B23" s="4"/>
      <c r="C23" s="4"/>
      <c r="D23" s="4"/>
      <c r="E23" s="4"/>
      <c r="F23" s="4"/>
      <c r="G23" s="4"/>
      <c r="H23" s="4"/>
      <c r="I23" s="4"/>
      <c r="J23" s="4"/>
      <c r="K23" s="4"/>
      <c r="L23" s="4"/>
      <c r="M23" s="4"/>
    </row>
    <row r="24" spans="1:13" ht="15.6">
      <c r="A24" s="28" t="s">
        <v>24</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0CFC1-0B01-4904-B46A-145B502C570A}">
  <sheetPr>
    <tabColor rgb="FFFF0000"/>
  </sheetPr>
  <dimension ref="A1:B57"/>
  <sheetViews>
    <sheetView workbookViewId="0">
      <selection sqref="A1:XFD1048576"/>
    </sheetView>
  </sheetViews>
  <sheetFormatPr defaultColWidth="9.21875" defaultRowHeight="14.4"/>
  <cols>
    <col min="1" max="1" width="40.44140625" style="727" customWidth="1"/>
    <col min="2" max="2" width="13.5546875" style="727" customWidth="1"/>
    <col min="3" max="5" width="9.21875" style="727"/>
    <col min="6" max="6" width="9.77734375" style="727" customWidth="1"/>
    <col min="7" max="16384" width="9.21875" style="727"/>
  </cols>
  <sheetData>
    <row r="1" spans="1:2" s="729" customFormat="1" ht="17.399999999999999">
      <c r="A1" s="730" t="s">
        <v>626</v>
      </c>
    </row>
    <row r="2" spans="1:2" s="729" customFormat="1" ht="15.6">
      <c r="A2" s="731" t="s">
        <v>1754</v>
      </c>
    </row>
    <row r="3" spans="1:2" s="729" customFormat="1" ht="15.6">
      <c r="A3" s="731" t="s">
        <v>576</v>
      </c>
    </row>
    <row r="4" spans="1:2" s="729" customFormat="1"/>
    <row r="5" spans="1:2" s="729" customFormat="1" ht="15.6">
      <c r="A5" s="1040" t="s">
        <v>1867</v>
      </c>
    </row>
    <row r="6" spans="1:2" s="729" customFormat="1" ht="16.2" thickBot="1">
      <c r="A6" s="728"/>
    </row>
    <row r="7" spans="1:2" s="729" customFormat="1" ht="16.2" thickBot="1">
      <c r="A7" s="742" t="s">
        <v>1755</v>
      </c>
      <c r="B7" s="871">
        <v>50000000</v>
      </c>
    </row>
    <row r="8" spans="1:2" s="729" customFormat="1" ht="16.05" customHeight="1" thickBot="1">
      <c r="A8" s="743" t="s">
        <v>1756</v>
      </c>
      <c r="B8" s="746">
        <v>2500000</v>
      </c>
    </row>
    <row r="9" spans="1:2" s="729" customFormat="1" ht="16.05" customHeight="1" thickBot="1">
      <c r="A9" s="743" t="s">
        <v>1757</v>
      </c>
      <c r="B9" s="746">
        <v>1500000</v>
      </c>
    </row>
    <row r="10" spans="1:2" s="729" customFormat="1" ht="16.05" customHeight="1" thickBot="1">
      <c r="A10" s="743" t="s">
        <v>1758</v>
      </c>
      <c r="B10" s="746">
        <v>1000000</v>
      </c>
    </row>
    <row r="11" spans="1:2" s="729" customFormat="1" ht="16.2" thickBot="1">
      <c r="A11" s="743" t="s">
        <v>1759</v>
      </c>
      <c r="B11" s="746">
        <v>100000000</v>
      </c>
    </row>
    <row r="12" spans="1:2" s="729" customFormat="1" ht="16.2" thickBot="1">
      <c r="A12" s="743" t="s">
        <v>1760</v>
      </c>
      <c r="B12" s="746">
        <v>90000000</v>
      </c>
    </row>
    <row r="13" spans="1:2" s="729" customFormat="1" ht="16.2" thickBot="1">
      <c r="A13" s="743" t="s">
        <v>1761</v>
      </c>
      <c r="B13" s="746">
        <v>75000000</v>
      </c>
    </row>
    <row r="14" spans="1:2" s="729" customFormat="1" ht="16.2" thickBot="1">
      <c r="A14" s="743" t="s">
        <v>1762</v>
      </c>
      <c r="B14" s="746">
        <v>40000000</v>
      </c>
    </row>
    <row r="15" spans="1:2" s="729" customFormat="1" ht="16.2" thickBot="1">
      <c r="A15" s="743" t="s">
        <v>1763</v>
      </c>
      <c r="B15" s="746">
        <v>20000000</v>
      </c>
    </row>
    <row r="16" spans="1:2" s="729" customFormat="1" ht="15.6">
      <c r="A16" s="728"/>
    </row>
    <row r="17" spans="1:1" s="729" customFormat="1" ht="15.6">
      <c r="A17" s="986" t="s">
        <v>1103</v>
      </c>
    </row>
    <row r="18" spans="1:1" s="729" customFormat="1" ht="15.6">
      <c r="A18" s="728"/>
    </row>
    <row r="19" spans="1:1" s="729" customFormat="1" ht="15.6">
      <c r="A19" s="986" t="s">
        <v>1868</v>
      </c>
    </row>
    <row r="20" spans="1:1" ht="15.6">
      <c r="A20" s="1036" t="s">
        <v>24</v>
      </c>
    </row>
    <row r="21" spans="1:1" ht="15.6">
      <c r="A21" s="1041"/>
    </row>
    <row r="22" spans="1:1" ht="15.6">
      <c r="A22" s="1041"/>
    </row>
    <row r="23" spans="1:1" ht="15.6">
      <c r="A23" s="1041"/>
    </row>
    <row r="24" spans="1:1" ht="15.6">
      <c r="A24" s="1041"/>
    </row>
    <row r="25" spans="1:1" ht="15.6">
      <c r="A25" s="1041"/>
    </row>
    <row r="26" spans="1:1" ht="15.6">
      <c r="A26" s="1041"/>
    </row>
    <row r="27" spans="1:1" ht="15.6">
      <c r="A27" s="1041"/>
    </row>
    <row r="28" spans="1:1" ht="15.6">
      <c r="A28" s="1041"/>
    </row>
    <row r="29" spans="1:1" ht="15.6">
      <c r="A29" s="1041"/>
    </row>
    <row r="30" spans="1:1" ht="15.6">
      <c r="A30" s="726"/>
    </row>
    <row r="31" spans="1:1" s="729" customFormat="1" ht="15.6">
      <c r="A31" s="986" t="s">
        <v>1869</v>
      </c>
    </row>
    <row r="32" spans="1:1" ht="15.6">
      <c r="A32" s="1036" t="s">
        <v>24</v>
      </c>
    </row>
    <row r="33" spans="1:1" ht="15.6">
      <c r="A33" s="1041"/>
    </row>
    <row r="34" spans="1:1" ht="15.6">
      <c r="A34" s="1041"/>
    </row>
    <row r="35" spans="1:1" ht="15.6">
      <c r="A35" s="1041"/>
    </row>
    <row r="36" spans="1:1" ht="15.6">
      <c r="A36" s="1041"/>
    </row>
    <row r="37" spans="1:1" ht="15.6">
      <c r="A37" s="1041"/>
    </row>
    <row r="38" spans="1:1" ht="15.6">
      <c r="A38" s="1041"/>
    </row>
    <row r="39" spans="1:1" ht="15.6">
      <c r="A39" s="1041"/>
    </row>
    <row r="40" spans="1:1" ht="15.6">
      <c r="A40" s="1041"/>
    </row>
    <row r="41" spans="1:1" ht="15.6">
      <c r="A41" s="1041"/>
    </row>
    <row r="42" spans="1:1" ht="15.6">
      <c r="A42" s="726"/>
    </row>
    <row r="43" spans="1:1" s="729" customFormat="1" ht="15.6">
      <c r="A43" s="986" t="s">
        <v>1870</v>
      </c>
    </row>
    <row r="44" spans="1:1" ht="15.6">
      <c r="A44" s="1036" t="s">
        <v>24</v>
      </c>
    </row>
    <row r="45" spans="1:1" ht="15.6">
      <c r="A45" s="1041"/>
    </row>
    <row r="46" spans="1:1" ht="15.6">
      <c r="A46" s="1041"/>
    </row>
    <row r="47" spans="1:1" ht="15.6">
      <c r="A47" s="1041"/>
    </row>
    <row r="48" spans="1:1" ht="15.6">
      <c r="A48" s="1041"/>
    </row>
    <row r="49" spans="1:1" ht="15.6">
      <c r="A49" s="1041"/>
    </row>
    <row r="50" spans="1:1" ht="15.6">
      <c r="A50" s="1041"/>
    </row>
    <row r="51" spans="1:1" ht="15.6">
      <c r="A51" s="1041"/>
    </row>
    <row r="52" spans="1:1" ht="15.6">
      <c r="A52" s="1041"/>
    </row>
    <row r="53" spans="1:1" ht="15.6">
      <c r="A53" s="1041"/>
    </row>
    <row r="54" spans="1:1" ht="15.6">
      <c r="A54" s="726"/>
    </row>
    <row r="55" spans="1:1" s="729" customFormat="1" ht="15.6">
      <c r="A55" s="986" t="s">
        <v>1871</v>
      </c>
    </row>
    <row r="56" spans="1:1" ht="15.6">
      <c r="A56" s="1036" t="s">
        <v>24</v>
      </c>
    </row>
    <row r="57" spans="1:1" ht="15.6">
      <c r="A57" s="868"/>
    </row>
  </sheetData>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279E6-0AFB-4557-8CDC-C19E9778FE2D}">
  <sheetPr codeName="Sheet14"/>
  <dimension ref="A1:M23"/>
  <sheetViews>
    <sheetView topLeftCell="A14" workbookViewId="0"/>
  </sheetViews>
  <sheetFormatPr defaultColWidth="8.77734375" defaultRowHeight="14.4"/>
  <cols>
    <col min="1" max="1" width="23.5546875" style="5" customWidth="1"/>
    <col min="2" max="16384" width="8.77734375" style="5"/>
  </cols>
  <sheetData>
    <row r="1" spans="1:13" ht="17.399999999999999">
      <c r="A1" s="3" t="s">
        <v>103</v>
      </c>
      <c r="B1" s="4"/>
      <c r="C1" s="4"/>
      <c r="D1" s="4"/>
      <c r="E1" s="4"/>
      <c r="F1" s="4"/>
      <c r="G1" s="4"/>
      <c r="H1" s="4"/>
      <c r="I1" s="4"/>
      <c r="J1" s="4"/>
      <c r="K1" s="4"/>
      <c r="L1" s="4"/>
      <c r="M1" s="4"/>
    </row>
    <row r="2" spans="1:13" ht="15.6">
      <c r="A2" s="6" t="s">
        <v>85</v>
      </c>
      <c r="B2" s="4"/>
      <c r="C2" s="4"/>
      <c r="D2" s="4"/>
      <c r="E2" s="4"/>
      <c r="F2" s="4"/>
      <c r="G2" s="4"/>
      <c r="H2" s="4"/>
      <c r="I2" s="4"/>
      <c r="J2" s="4"/>
      <c r="K2" s="4"/>
      <c r="L2" s="4"/>
      <c r="M2" s="4"/>
    </row>
    <row r="3" spans="1:13" ht="15.6">
      <c r="A3" s="6" t="s">
        <v>104</v>
      </c>
      <c r="B3" s="4"/>
      <c r="C3" s="4"/>
      <c r="D3" s="4"/>
      <c r="E3" s="4"/>
      <c r="F3" s="4"/>
      <c r="G3" s="4"/>
      <c r="H3" s="4"/>
      <c r="I3" s="4"/>
      <c r="J3" s="4"/>
      <c r="K3" s="4"/>
      <c r="L3" s="4"/>
      <c r="M3" s="4"/>
    </row>
    <row r="4" spans="1:13">
      <c r="A4" s="4"/>
      <c r="B4" s="4"/>
      <c r="C4" s="4"/>
      <c r="D4" s="4"/>
      <c r="E4" s="4"/>
      <c r="F4" s="4"/>
      <c r="G4" s="4"/>
      <c r="H4" s="4"/>
      <c r="I4" s="4"/>
      <c r="J4" s="4"/>
      <c r="K4" s="4"/>
      <c r="L4" s="4"/>
      <c r="M4" s="4"/>
    </row>
    <row r="5" spans="1:13" ht="15.6">
      <c r="A5" s="15" t="s">
        <v>105</v>
      </c>
      <c r="B5" s="16"/>
      <c r="C5" s="16"/>
      <c r="D5" s="16"/>
      <c r="E5" s="16"/>
      <c r="F5" s="16"/>
      <c r="G5" s="16"/>
      <c r="H5" s="4"/>
      <c r="I5" s="4"/>
      <c r="J5" s="4"/>
      <c r="K5" s="4"/>
      <c r="L5" s="4"/>
      <c r="M5" s="4"/>
    </row>
    <row r="6" spans="1:13" ht="15.6">
      <c r="A6" s="15"/>
      <c r="B6" s="16"/>
      <c r="C6" s="16"/>
      <c r="D6" s="16"/>
      <c r="E6" s="16"/>
      <c r="F6" s="16"/>
      <c r="G6" s="16"/>
      <c r="H6" s="4"/>
      <c r="I6" s="4"/>
      <c r="J6" s="4"/>
      <c r="K6" s="4"/>
      <c r="L6" s="4"/>
      <c r="M6" s="4"/>
    </row>
    <row r="7" spans="1:13" ht="15.6">
      <c r="A7" s="36" t="s">
        <v>106</v>
      </c>
      <c r="B7" s="16"/>
      <c r="C7" s="16"/>
      <c r="D7" s="16"/>
      <c r="E7" s="16"/>
      <c r="F7" s="16"/>
      <c r="G7" s="16"/>
      <c r="H7" s="4"/>
      <c r="I7" s="4"/>
      <c r="J7" s="4"/>
      <c r="K7" s="4"/>
      <c r="L7" s="4"/>
      <c r="M7" s="4"/>
    </row>
    <row r="8" spans="1:13" ht="15.6">
      <c r="A8" s="36" t="s">
        <v>107</v>
      </c>
      <c r="B8" s="16"/>
      <c r="C8" s="16"/>
      <c r="D8" s="16"/>
      <c r="E8" s="16"/>
      <c r="F8" s="16"/>
      <c r="G8" s="16"/>
      <c r="H8" s="4"/>
      <c r="I8" s="4"/>
      <c r="J8" s="4"/>
      <c r="K8" s="4"/>
      <c r="L8" s="4"/>
      <c r="M8" s="4"/>
    </row>
    <row r="9" spans="1:13" ht="15.6">
      <c r="A9" s="36" t="s">
        <v>108</v>
      </c>
      <c r="B9" s="16"/>
      <c r="C9" s="16"/>
      <c r="D9" s="16"/>
      <c r="E9" s="16"/>
      <c r="F9" s="16"/>
      <c r="G9" s="16"/>
      <c r="H9" s="4"/>
      <c r="I9" s="4"/>
      <c r="J9" s="4"/>
      <c r="K9" s="4"/>
      <c r="L9" s="4"/>
      <c r="M9" s="4"/>
    </row>
    <row r="10" spans="1:13" ht="16.2" thickBot="1">
      <c r="A10" s="9"/>
      <c r="B10" s="16"/>
      <c r="C10" s="16"/>
      <c r="D10" s="16"/>
      <c r="E10" s="16"/>
      <c r="F10" s="16"/>
      <c r="G10" s="16"/>
      <c r="H10" s="4"/>
      <c r="I10" s="4"/>
      <c r="J10" s="4"/>
      <c r="K10" s="4"/>
      <c r="L10" s="4"/>
      <c r="M10" s="4"/>
    </row>
    <row r="11" spans="1:13" ht="33.6" customHeight="1" thickBot="1">
      <c r="A11" s="11" t="s">
        <v>109</v>
      </c>
      <c r="B11" s="18">
        <v>2017</v>
      </c>
      <c r="C11" s="18">
        <v>2018</v>
      </c>
      <c r="D11" s="18">
        <v>2019</v>
      </c>
      <c r="E11" s="18">
        <v>2020</v>
      </c>
      <c r="F11" s="18">
        <v>2021</v>
      </c>
      <c r="G11" s="18">
        <v>2022</v>
      </c>
      <c r="H11" s="4"/>
      <c r="I11" s="4"/>
      <c r="J11" s="4"/>
      <c r="K11" s="4"/>
      <c r="L11" s="4"/>
      <c r="M11" s="4"/>
    </row>
    <row r="12" spans="1:13" ht="30.6" customHeight="1" thickBot="1">
      <c r="A12" s="29" t="s">
        <v>110</v>
      </c>
      <c r="B12" s="14">
        <v>500</v>
      </c>
      <c r="C12" s="14">
        <v>250</v>
      </c>
      <c r="D12" s="14">
        <v>0</v>
      </c>
      <c r="E12" s="14">
        <v>0</v>
      </c>
      <c r="F12" s="14">
        <v>0</v>
      </c>
      <c r="G12" s="14">
        <v>0</v>
      </c>
      <c r="H12" s="4"/>
      <c r="I12" s="4"/>
      <c r="J12" s="4"/>
      <c r="K12" s="4"/>
      <c r="L12" s="4"/>
      <c r="M12" s="4"/>
    </row>
    <row r="13" spans="1:13" ht="25.5" customHeight="1" thickBot="1">
      <c r="A13" s="29" t="s">
        <v>111</v>
      </c>
      <c r="B13" s="46">
        <v>0.1</v>
      </c>
      <c r="C13" s="46">
        <v>0.1</v>
      </c>
      <c r="D13" s="46">
        <v>0.1</v>
      </c>
      <c r="E13" s="46">
        <v>0.1</v>
      </c>
      <c r="F13" s="46">
        <v>0.1</v>
      </c>
      <c r="G13" s="46">
        <v>1</v>
      </c>
      <c r="H13" s="4"/>
      <c r="I13" s="4"/>
      <c r="J13" s="4"/>
      <c r="K13" s="4"/>
      <c r="L13" s="4"/>
      <c r="M13" s="4"/>
    </row>
    <row r="14" spans="1:13" ht="33.6" customHeight="1" thickBot="1">
      <c r="A14" s="29" t="s">
        <v>112</v>
      </c>
      <c r="B14" s="14">
        <v>700</v>
      </c>
      <c r="C14" s="14">
        <v>500</v>
      </c>
      <c r="D14" s="14">
        <v>300</v>
      </c>
      <c r="E14" s="14" t="s">
        <v>113</v>
      </c>
      <c r="F14" s="14" t="s">
        <v>113</v>
      </c>
      <c r="G14" s="14" t="s">
        <v>113</v>
      </c>
      <c r="H14" s="4"/>
      <c r="I14" s="4"/>
      <c r="J14" s="4"/>
      <c r="K14" s="4"/>
      <c r="L14" s="4"/>
      <c r="M14" s="4"/>
    </row>
    <row r="15" spans="1:13" ht="15.6">
      <c r="A15" s="15"/>
      <c r="B15" s="16"/>
      <c r="C15" s="16"/>
      <c r="D15" s="16"/>
      <c r="E15" s="16"/>
      <c r="F15" s="16"/>
      <c r="G15" s="16"/>
      <c r="H15" s="4"/>
      <c r="I15" s="4"/>
      <c r="J15" s="4"/>
      <c r="K15" s="4"/>
      <c r="L15" s="4"/>
      <c r="M15" s="4"/>
    </row>
    <row r="17" spans="1:13" ht="15.6">
      <c r="A17" s="15" t="s">
        <v>117</v>
      </c>
      <c r="B17" s="4"/>
      <c r="C17" s="4"/>
      <c r="D17" s="4"/>
      <c r="E17" s="4"/>
      <c r="F17" s="4"/>
      <c r="G17" s="4"/>
      <c r="H17" s="4"/>
      <c r="I17" s="4"/>
      <c r="J17" s="4"/>
      <c r="K17" s="4"/>
      <c r="L17" s="4"/>
      <c r="M17" s="4"/>
    </row>
    <row r="18" spans="1:13" ht="15.6">
      <c r="A18" s="36" t="s">
        <v>118</v>
      </c>
      <c r="B18" s="4"/>
      <c r="C18" s="4"/>
      <c r="D18" s="4"/>
      <c r="E18" s="4"/>
      <c r="F18" s="4"/>
      <c r="G18" s="4"/>
      <c r="H18" s="4"/>
      <c r="I18" s="4"/>
      <c r="J18" s="4"/>
      <c r="K18" s="4"/>
      <c r="L18" s="4"/>
      <c r="M18" s="4"/>
    </row>
    <row r="19" spans="1:13" ht="15.6">
      <c r="A19" s="36" t="s">
        <v>119</v>
      </c>
      <c r="B19" s="4"/>
      <c r="C19" s="4"/>
      <c r="D19" s="4"/>
      <c r="E19" s="4"/>
      <c r="F19" s="4"/>
      <c r="G19" s="4"/>
      <c r="H19" s="4"/>
      <c r="I19" s="4"/>
      <c r="J19" s="4"/>
      <c r="K19" s="4"/>
      <c r="L19" s="4"/>
      <c r="M19" s="4"/>
    </row>
    <row r="20" spans="1:13" ht="15.6">
      <c r="A20" s="36" t="s">
        <v>120</v>
      </c>
      <c r="B20" s="4"/>
      <c r="C20" s="4"/>
      <c r="D20" s="4"/>
      <c r="E20" s="4"/>
      <c r="F20" s="4"/>
      <c r="G20" s="4"/>
      <c r="H20" s="4"/>
      <c r="I20" s="4"/>
      <c r="J20" s="4"/>
      <c r="K20" s="4"/>
      <c r="L20" s="4"/>
      <c r="M20" s="4"/>
    </row>
    <row r="21" spans="1:13" ht="15.6">
      <c r="A21" s="47"/>
      <c r="B21" s="4"/>
      <c r="C21" s="4"/>
      <c r="D21" s="4"/>
      <c r="E21" s="4"/>
      <c r="F21" s="4"/>
      <c r="G21" s="4"/>
      <c r="H21" s="4"/>
      <c r="I21" s="4"/>
      <c r="J21" s="4"/>
      <c r="K21" s="4"/>
      <c r="L21" s="4"/>
      <c r="M21" s="4"/>
    </row>
    <row r="22" spans="1:13" ht="15.6">
      <c r="A22" s="15" t="s">
        <v>122</v>
      </c>
      <c r="B22" s="4"/>
      <c r="C22" s="4"/>
      <c r="D22" s="4"/>
      <c r="E22" s="4"/>
      <c r="F22" s="4"/>
      <c r="G22" s="4"/>
      <c r="H22" s="4"/>
      <c r="I22" s="4"/>
      <c r="J22" s="4"/>
      <c r="K22" s="4"/>
      <c r="L22" s="4"/>
      <c r="M22" s="4"/>
    </row>
    <row r="23" spans="1:13" ht="15.6">
      <c r="A23" s="28" t="s">
        <v>24</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16304-083F-4AD0-A487-40FCE056D992}">
  <dimension ref="A1:I41"/>
  <sheetViews>
    <sheetView workbookViewId="0">
      <selection sqref="A1:XFD1048576"/>
    </sheetView>
  </sheetViews>
  <sheetFormatPr defaultColWidth="9.21875" defaultRowHeight="14.4"/>
  <cols>
    <col min="1" max="1" width="87.77734375" style="727" bestFit="1" customWidth="1"/>
    <col min="2" max="2" width="15.21875" style="727" bestFit="1" customWidth="1"/>
    <col min="3" max="3" width="9.21875" style="727"/>
    <col min="4" max="4" width="14.77734375" style="727" bestFit="1" customWidth="1"/>
    <col min="5" max="5" width="9.21875" style="727"/>
    <col min="6" max="6" width="9.77734375" style="727" customWidth="1"/>
    <col min="7" max="16384" width="9.21875" style="727"/>
  </cols>
  <sheetData>
    <row r="1" spans="1:2" s="729" customFormat="1" ht="17.399999999999999">
      <c r="A1" s="730" t="s">
        <v>626</v>
      </c>
    </row>
    <row r="2" spans="1:2" s="729" customFormat="1" ht="15.6">
      <c r="A2" s="1040" t="s">
        <v>1867</v>
      </c>
    </row>
    <row r="3" spans="1:2" s="729" customFormat="1" ht="16.2" thickBot="1">
      <c r="A3" s="728"/>
    </row>
    <row r="4" spans="1:2" s="729" customFormat="1" ht="16.2" thickBot="1">
      <c r="A4" s="742" t="s">
        <v>1755</v>
      </c>
      <c r="B4" s="871">
        <v>50000000</v>
      </c>
    </row>
    <row r="5" spans="1:2" s="729" customFormat="1" ht="16.05" customHeight="1" thickBot="1">
      <c r="A5" s="743" t="s">
        <v>1756</v>
      </c>
      <c r="B5" s="746">
        <v>2500000</v>
      </c>
    </row>
    <row r="6" spans="1:2" s="729" customFormat="1" ht="16.05" customHeight="1" thickBot="1">
      <c r="A6" s="743" t="s">
        <v>1757</v>
      </c>
      <c r="B6" s="746">
        <v>1500000</v>
      </c>
    </row>
    <row r="7" spans="1:2" s="729" customFormat="1" ht="16.05" customHeight="1" thickBot="1">
      <c r="A7" s="743" t="s">
        <v>1758</v>
      </c>
      <c r="B7" s="746">
        <v>1000000</v>
      </c>
    </row>
    <row r="8" spans="1:2" s="729" customFormat="1" ht="16.2" thickBot="1">
      <c r="A8" s="743" t="s">
        <v>1759</v>
      </c>
      <c r="B8" s="746">
        <v>100000000</v>
      </c>
    </row>
    <row r="9" spans="1:2" s="729" customFormat="1" ht="16.2" thickBot="1">
      <c r="A9" s="743" t="s">
        <v>1760</v>
      </c>
      <c r="B9" s="746">
        <v>90000000</v>
      </c>
    </row>
    <row r="10" spans="1:2" s="729" customFormat="1" ht="16.2" thickBot="1">
      <c r="A10" s="743" t="s">
        <v>1761</v>
      </c>
      <c r="B10" s="746">
        <v>75000000</v>
      </c>
    </row>
    <row r="11" spans="1:2" s="729" customFormat="1" ht="16.2" thickBot="1">
      <c r="A11" s="743" t="s">
        <v>1762</v>
      </c>
      <c r="B11" s="746">
        <v>40000000</v>
      </c>
    </row>
    <row r="12" spans="1:2" s="729" customFormat="1" ht="16.2" thickBot="1">
      <c r="A12" s="743" t="s">
        <v>1763</v>
      </c>
      <c r="B12" s="746">
        <v>20000000</v>
      </c>
    </row>
    <row r="13" spans="1:2" s="729" customFormat="1" ht="15.6">
      <c r="A13" s="728"/>
    </row>
    <row r="14" spans="1:2" s="729" customFormat="1" ht="15.6">
      <c r="A14" s="986" t="s">
        <v>1103</v>
      </c>
    </row>
    <row r="15" spans="1:2" s="729" customFormat="1" ht="15.6">
      <c r="A15" s="728"/>
    </row>
    <row r="16" spans="1:2" s="729" customFormat="1" ht="15.6">
      <c r="A16" s="986" t="s">
        <v>1868</v>
      </c>
    </row>
    <row r="17" spans="1:9" ht="15.6">
      <c r="A17" s="1036" t="s">
        <v>1836</v>
      </c>
    </row>
    <row r="18" spans="1:9" ht="15.6">
      <c r="A18" s="1041"/>
    </row>
    <row r="19" spans="1:9" ht="15.6">
      <c r="A19" s="1042" t="s">
        <v>1844</v>
      </c>
      <c r="B19" s="1043">
        <f>B4</f>
        <v>50000000</v>
      </c>
      <c r="F19" s="726"/>
    </row>
    <row r="20" spans="1:9" ht="15.6">
      <c r="A20" s="1042" t="s">
        <v>1843</v>
      </c>
      <c r="B20" s="1043">
        <f>B5</f>
        <v>2500000</v>
      </c>
      <c r="I20" s="726"/>
    </row>
    <row r="21" spans="1:9" ht="15.6">
      <c r="A21" s="1042" t="s">
        <v>1842</v>
      </c>
      <c r="B21" s="1043">
        <f>B7</f>
        <v>1000000</v>
      </c>
      <c r="I21" s="726"/>
    </row>
    <row r="22" spans="1:9" ht="15.6">
      <c r="A22" s="1042" t="s">
        <v>1841</v>
      </c>
      <c r="B22" s="1043">
        <v>0</v>
      </c>
      <c r="I22" s="726"/>
    </row>
    <row r="23" spans="1:9" ht="15.6">
      <c r="A23" s="1042" t="s">
        <v>1840</v>
      </c>
      <c r="B23" s="1043">
        <v>0</v>
      </c>
      <c r="I23" s="726"/>
    </row>
    <row r="24" spans="1:9" ht="15.6">
      <c r="A24" s="1042" t="s">
        <v>1839</v>
      </c>
      <c r="B24" s="1043">
        <v>0</v>
      </c>
      <c r="I24" s="862"/>
    </row>
    <row r="25" spans="1:9" ht="15.6">
      <c r="A25" s="1042" t="s">
        <v>1838</v>
      </c>
      <c r="B25" s="1043">
        <f>(B9-B8)</f>
        <v>-10000000</v>
      </c>
    </row>
    <row r="26" spans="1:9" ht="15.6">
      <c r="A26" s="1041" t="s">
        <v>1837</v>
      </c>
      <c r="B26" s="1043">
        <f>SUM(B19:B25)</f>
        <v>43500000</v>
      </c>
    </row>
    <row r="27" spans="1:9" ht="15.6">
      <c r="A27" s="726"/>
    </row>
    <row r="28" spans="1:9" s="729" customFormat="1" ht="15.6">
      <c r="A28" s="986" t="s">
        <v>1869</v>
      </c>
    </row>
    <row r="29" spans="1:9" ht="15.6">
      <c r="A29" s="1036" t="s">
        <v>1836</v>
      </c>
    </row>
    <row r="30" spans="1:9" ht="15.6">
      <c r="A30" s="1042" t="s">
        <v>1872</v>
      </c>
    </row>
    <row r="31" spans="1:9" ht="15.6">
      <c r="B31" s="1043">
        <f>B26+B10</f>
        <v>118500000</v>
      </c>
    </row>
    <row r="32" spans="1:9" ht="15.6">
      <c r="A32" s="726"/>
    </row>
    <row r="33" spans="1:2" s="729" customFormat="1" ht="15.6">
      <c r="A33" s="986" t="s">
        <v>1870</v>
      </c>
    </row>
    <row r="34" spans="1:2" ht="15.6">
      <c r="A34" s="1036" t="s">
        <v>1836</v>
      </c>
    </row>
    <row r="35" spans="1:2" ht="15.6">
      <c r="A35" s="1042" t="s">
        <v>1873</v>
      </c>
    </row>
    <row r="36" spans="1:2" ht="15.6">
      <c r="B36" s="1043">
        <f>B31+B11</f>
        <v>158500000</v>
      </c>
    </row>
    <row r="37" spans="1:2" ht="15.6">
      <c r="A37" s="1041"/>
    </row>
    <row r="38" spans="1:2" s="729" customFormat="1" ht="15.6">
      <c r="A38" s="986" t="s">
        <v>1871</v>
      </c>
    </row>
    <row r="39" spans="1:2" ht="15.6">
      <c r="A39" s="1036" t="s">
        <v>1836</v>
      </c>
    </row>
    <row r="40" spans="1:2" ht="15.6">
      <c r="A40" s="1044" t="s">
        <v>1874</v>
      </c>
    </row>
    <row r="41" spans="1:2" ht="15.6">
      <c r="B41" s="1043">
        <f>B36+B12</f>
        <v>178500000</v>
      </c>
    </row>
  </sheetData>
  <pageMargins left="0.7" right="0.7" top="0.75" bottom="0.75" header="0.3" footer="0.3"/>
  <headerFooter>
    <oddFooter>&amp;C_x000D_&amp;1#&amp;"Calibri"&amp;10&amp;K000000 CONFIDENTIAL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84240-A702-4EEE-A965-BF9734A05EF2}">
  <sheetPr>
    <tabColor theme="3"/>
  </sheetPr>
  <dimension ref="A1"/>
  <sheetViews>
    <sheetView topLeftCell="A4" workbookViewId="0">
      <selection activeCell="G22" sqref="G22"/>
    </sheetView>
  </sheetViews>
  <sheetFormatPr defaultRowHeight="13.2"/>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C9835-D064-4967-9483-EB671CCC8E6E}">
  <dimension ref="A1:I80"/>
  <sheetViews>
    <sheetView workbookViewId="0">
      <selection activeCell="F26" sqref="F26"/>
    </sheetView>
  </sheetViews>
  <sheetFormatPr defaultColWidth="9.21875" defaultRowHeight="14.4"/>
  <cols>
    <col min="1" max="1" width="10.44140625" style="67" customWidth="1"/>
    <col min="2" max="2" width="14" style="67" customWidth="1"/>
    <col min="3" max="3" width="11.5546875" style="67" customWidth="1"/>
    <col min="4" max="4" width="10.77734375" style="67" customWidth="1"/>
    <col min="5" max="5" width="11.77734375" style="67" customWidth="1"/>
    <col min="6" max="6" width="11" style="67" customWidth="1"/>
    <col min="7" max="7" width="12.77734375" style="67" customWidth="1"/>
    <col min="8" max="8" width="11.44140625" style="67" customWidth="1"/>
    <col min="9" max="9" width="11" style="67" bestFit="1" customWidth="1"/>
    <col min="10" max="16384" width="9.21875" style="67"/>
  </cols>
  <sheetData>
    <row r="1" spans="1:1" s="66" customFormat="1" ht="17.399999999999999">
      <c r="A1" s="65" t="s">
        <v>797</v>
      </c>
    </row>
    <row r="2" spans="1:1" s="66" customFormat="1" ht="15.6">
      <c r="A2" s="68" t="s">
        <v>291</v>
      </c>
    </row>
    <row r="3" spans="1:1" s="66" customFormat="1" ht="15.6">
      <c r="A3" s="68" t="s">
        <v>473</v>
      </c>
    </row>
    <row r="4" spans="1:1" s="66" customFormat="1"/>
    <row r="5" spans="1:1" s="66" customFormat="1" ht="15.6">
      <c r="A5" s="70" t="s">
        <v>798</v>
      </c>
    </row>
    <row r="6" spans="1:1" s="66" customFormat="1" ht="15.6">
      <c r="A6" s="71"/>
    </row>
    <row r="7" spans="1:1" s="66" customFormat="1" ht="15.6">
      <c r="A7" s="70" t="s">
        <v>339</v>
      </c>
    </row>
    <row r="8" spans="1:1" s="66" customFormat="1" ht="15.6">
      <c r="A8" s="70"/>
    </row>
    <row r="9" spans="1:1" s="66" customFormat="1" ht="15.6">
      <c r="A9" s="119" t="s">
        <v>799</v>
      </c>
    </row>
    <row r="10" spans="1:1" s="66" customFormat="1" ht="15.6">
      <c r="A10" s="119" t="s">
        <v>800</v>
      </c>
    </row>
    <row r="11" spans="1:1" s="66" customFormat="1" ht="18.600000000000001">
      <c r="A11" s="119" t="s">
        <v>801</v>
      </c>
    </row>
    <row r="12" spans="1:1" s="66" customFormat="1" ht="15.6">
      <c r="A12" s="119" t="s">
        <v>802</v>
      </c>
    </row>
    <row r="13" spans="1:1" s="66" customFormat="1" ht="15.6">
      <c r="A13" s="119" t="s">
        <v>803</v>
      </c>
    </row>
    <row r="14" spans="1:1" s="66" customFormat="1" ht="15.6">
      <c r="A14" s="119" t="s">
        <v>804</v>
      </c>
    </row>
    <row r="15" spans="1:1" s="66" customFormat="1" ht="15.6">
      <c r="A15" s="119" t="s">
        <v>805</v>
      </c>
    </row>
    <row r="16" spans="1:1" s="66" customFormat="1" ht="16.2" thickBot="1">
      <c r="A16" s="199"/>
    </row>
    <row r="17" spans="1:9" s="66" customFormat="1" ht="16.2" thickBot="1">
      <c r="B17" s="1063" t="s">
        <v>806</v>
      </c>
      <c r="C17" s="1064"/>
      <c r="D17" s="1064"/>
      <c r="E17" s="1064"/>
      <c r="F17" s="1064"/>
      <c r="G17" s="1064"/>
      <c r="H17" s="1064"/>
      <c r="I17" s="1065"/>
    </row>
    <row r="18" spans="1:9" s="66" customFormat="1" ht="16.2" thickBot="1">
      <c r="B18" s="1066" t="s">
        <v>807</v>
      </c>
      <c r="C18" s="1067"/>
      <c r="D18" s="1067"/>
      <c r="E18" s="1068"/>
      <c r="F18" s="1066" t="s">
        <v>808</v>
      </c>
      <c r="G18" s="1067"/>
      <c r="H18" s="1067"/>
      <c r="I18" s="1068"/>
    </row>
    <row r="19" spans="1:9" s="66" customFormat="1" ht="30.6" customHeight="1" thickBot="1">
      <c r="A19" s="203" t="s">
        <v>374</v>
      </c>
      <c r="B19" s="138" t="s">
        <v>809</v>
      </c>
      <c r="C19" s="381" t="s">
        <v>810</v>
      </c>
      <c r="D19" s="138" t="s">
        <v>811</v>
      </c>
      <c r="E19" s="138" t="s">
        <v>812</v>
      </c>
      <c r="F19" s="138" t="s">
        <v>809</v>
      </c>
      <c r="G19" s="138" t="s">
        <v>810</v>
      </c>
      <c r="H19" s="138" t="s">
        <v>811</v>
      </c>
      <c r="I19" s="138" t="s">
        <v>812</v>
      </c>
    </row>
    <row r="20" spans="1:9" s="66" customFormat="1" ht="16.2" thickBot="1">
      <c r="A20" s="193">
        <v>1</v>
      </c>
      <c r="B20" s="382">
        <v>0.01</v>
      </c>
      <c r="C20" s="383">
        <v>0.98</v>
      </c>
      <c r="D20" s="384">
        <v>0.04</v>
      </c>
      <c r="E20" s="384">
        <v>7.4999999999999997E-3</v>
      </c>
      <c r="F20" s="382"/>
      <c r="G20" s="383">
        <v>1</v>
      </c>
      <c r="H20" s="381"/>
      <c r="I20" s="381"/>
    </row>
    <row r="21" spans="1:9" s="66" customFormat="1" ht="16.2" thickBot="1">
      <c r="A21" s="193">
        <v>2</v>
      </c>
      <c r="B21" s="382">
        <v>1.0999999999999999E-2</v>
      </c>
      <c r="C21" s="383">
        <v>0.96</v>
      </c>
      <c r="D21" s="384">
        <v>0.04</v>
      </c>
      <c r="E21" s="384">
        <v>7.4999999999999997E-3</v>
      </c>
      <c r="F21" s="382"/>
      <c r="G21" s="383">
        <v>1</v>
      </c>
      <c r="H21" s="381"/>
      <c r="I21" s="381"/>
    </row>
    <row r="22" spans="1:9" s="66" customFormat="1" ht="16.2" thickBot="1">
      <c r="A22" s="193">
        <v>3</v>
      </c>
      <c r="B22" s="382">
        <v>1.2E-2</v>
      </c>
      <c r="C22" s="383">
        <v>0.93899999999999995</v>
      </c>
      <c r="D22" s="384">
        <v>0.04</v>
      </c>
      <c r="E22" s="384">
        <v>7.4999999999999997E-3</v>
      </c>
      <c r="F22" s="382">
        <v>1.2E-2</v>
      </c>
      <c r="G22" s="383">
        <v>0.97799999999999998</v>
      </c>
      <c r="H22" s="384">
        <v>4.4999999999999998E-2</v>
      </c>
      <c r="I22" s="384">
        <v>0.01</v>
      </c>
    </row>
    <row r="23" spans="1:9" s="66" customFormat="1" ht="16.2" thickBot="1">
      <c r="A23" s="193">
        <v>4</v>
      </c>
      <c r="B23" s="382">
        <v>1.35E-2</v>
      </c>
      <c r="C23" s="383">
        <v>0.91700000000000004</v>
      </c>
      <c r="D23" s="384">
        <v>0.04</v>
      </c>
      <c r="E23" s="384">
        <v>7.4999999999999997E-3</v>
      </c>
      <c r="F23" s="382">
        <v>1.35E-2</v>
      </c>
      <c r="G23" s="383">
        <v>0.95499999999999996</v>
      </c>
      <c r="H23" s="384">
        <v>4.4999999999999998E-2</v>
      </c>
      <c r="I23" s="384">
        <v>0.01</v>
      </c>
    </row>
    <row r="24" spans="1:9" s="66" customFormat="1" ht="16.2" thickBot="1">
      <c r="A24" s="193">
        <v>5</v>
      </c>
      <c r="B24" s="382">
        <v>1.4999999999999999E-2</v>
      </c>
      <c r="C24" s="383">
        <v>0.89400000000000002</v>
      </c>
      <c r="D24" s="384">
        <v>0.04</v>
      </c>
      <c r="E24" s="384">
        <v>7.4999999999999997E-3</v>
      </c>
      <c r="F24" s="382">
        <v>1.4999999999999999E-2</v>
      </c>
      <c r="G24" s="383">
        <v>0.93100000000000005</v>
      </c>
      <c r="H24" s="384">
        <v>4.4999999999999998E-2</v>
      </c>
      <c r="I24" s="384">
        <v>0.01</v>
      </c>
    </row>
    <row r="25" spans="1:9" s="66" customFormat="1" ht="16.2" thickBot="1">
      <c r="A25" s="193">
        <v>6</v>
      </c>
      <c r="B25" s="382">
        <v>1.6500000000000001E-2</v>
      </c>
      <c r="C25" s="383">
        <v>0.87</v>
      </c>
      <c r="D25" s="384">
        <v>0.04</v>
      </c>
      <c r="E25" s="384">
        <v>7.4999999999999997E-3</v>
      </c>
      <c r="F25" s="382">
        <v>1.6500000000000001E-2</v>
      </c>
      <c r="G25" s="383">
        <v>0.90600000000000003</v>
      </c>
      <c r="H25" s="384">
        <v>4.4999999999999998E-2</v>
      </c>
      <c r="I25" s="384">
        <v>0.01</v>
      </c>
    </row>
    <row r="26" spans="1:9" s="66" customFormat="1" ht="16.2" thickBot="1">
      <c r="A26" s="193">
        <v>7</v>
      </c>
      <c r="B26" s="382">
        <v>1.7999999999999999E-2</v>
      </c>
      <c r="C26" s="383">
        <v>0.84599999999999997</v>
      </c>
      <c r="D26" s="384">
        <v>0.04</v>
      </c>
      <c r="E26" s="384">
        <v>7.4999999999999997E-3</v>
      </c>
      <c r="F26" s="382">
        <v>1.7999999999999999E-2</v>
      </c>
      <c r="G26" s="383">
        <v>0.88100000000000001</v>
      </c>
      <c r="H26" s="384">
        <v>4.4999999999999998E-2</v>
      </c>
      <c r="I26" s="384">
        <v>0.01</v>
      </c>
    </row>
    <row r="27" spans="1:9" s="66" customFormat="1" ht="16.2" thickBot="1">
      <c r="A27" s="193">
        <v>8</v>
      </c>
      <c r="B27" s="382">
        <v>0.02</v>
      </c>
      <c r="C27" s="383">
        <v>0.82099999999999995</v>
      </c>
      <c r="D27" s="384">
        <v>0.04</v>
      </c>
      <c r="E27" s="384">
        <v>7.4999999999999997E-3</v>
      </c>
      <c r="F27" s="382">
        <v>0.02</v>
      </c>
      <c r="G27" s="383">
        <v>0.85499999999999998</v>
      </c>
      <c r="H27" s="384">
        <v>4.4999999999999998E-2</v>
      </c>
      <c r="I27" s="384">
        <v>0.01</v>
      </c>
    </row>
    <row r="28" spans="1:9" s="66" customFormat="1" ht="16.2" thickBot="1">
      <c r="A28" s="193">
        <v>9</v>
      </c>
      <c r="B28" s="382">
        <v>2.1999999999999999E-2</v>
      </c>
      <c r="C28" s="383">
        <v>0.79500000000000004</v>
      </c>
      <c r="D28" s="384">
        <v>0.04</v>
      </c>
      <c r="E28" s="384">
        <v>7.4999999999999997E-3</v>
      </c>
      <c r="F28" s="382">
        <v>2.1999999999999999E-2</v>
      </c>
      <c r="G28" s="383">
        <v>0.82799999999999996</v>
      </c>
      <c r="H28" s="384">
        <v>4.4999999999999998E-2</v>
      </c>
      <c r="I28" s="384">
        <v>0.01</v>
      </c>
    </row>
    <row r="29" spans="1:9" s="66" customFormat="1" ht="16.2" thickBot="1">
      <c r="A29" s="193">
        <v>10</v>
      </c>
      <c r="B29" s="382">
        <v>2.4E-2</v>
      </c>
      <c r="C29" s="383">
        <v>0</v>
      </c>
      <c r="D29" s="384">
        <v>0.04</v>
      </c>
      <c r="E29" s="384">
        <v>7.4999999999999997E-3</v>
      </c>
      <c r="F29" s="382">
        <v>2.4E-2</v>
      </c>
      <c r="G29" s="383">
        <v>0</v>
      </c>
      <c r="H29" s="384">
        <v>4.4999999999999998E-2</v>
      </c>
      <c r="I29" s="384">
        <v>0.01</v>
      </c>
    </row>
    <row r="30" spans="1:9" s="66" customFormat="1" ht="15.6">
      <c r="A30" s="70"/>
    </row>
    <row r="31" spans="1:9" s="66" customFormat="1" ht="16.2" thickBot="1">
      <c r="A31" s="70"/>
    </row>
    <row r="32" spans="1:9" s="66" customFormat="1" ht="16.2" thickBot="1">
      <c r="B32" s="1063" t="s">
        <v>813</v>
      </c>
      <c r="C32" s="1064"/>
      <c r="D32" s="1064"/>
      <c r="E32" s="1064"/>
      <c r="F32" s="1064"/>
      <c r="G32" s="1064"/>
      <c r="H32" s="1065"/>
    </row>
    <row r="33" spans="1:8" s="66" customFormat="1" ht="16.2" thickBot="1">
      <c r="B33" s="1063" t="s">
        <v>814</v>
      </c>
      <c r="C33" s="1064"/>
      <c r="D33" s="1069"/>
      <c r="E33" s="380"/>
      <c r="F33" s="1064" t="s">
        <v>815</v>
      </c>
      <c r="G33" s="1064"/>
      <c r="H33" s="1065"/>
    </row>
    <row r="34" spans="1:8" s="66" customFormat="1" ht="63" thickBot="1">
      <c r="A34" s="378" t="s">
        <v>374</v>
      </c>
      <c r="B34" s="137" t="s">
        <v>816</v>
      </c>
      <c r="C34" s="187" t="s">
        <v>817</v>
      </c>
      <c r="D34" s="187" t="s">
        <v>818</v>
      </c>
      <c r="E34" s="1070" t="s">
        <v>816</v>
      </c>
      <c r="F34" s="1071"/>
      <c r="G34" s="138" t="s">
        <v>817</v>
      </c>
      <c r="H34" s="138" t="s">
        <v>818</v>
      </c>
    </row>
    <row r="35" spans="1:8" s="66" customFormat="1" ht="16.2" thickBot="1">
      <c r="A35" s="385">
        <v>1</v>
      </c>
      <c r="B35" s="386">
        <v>101000</v>
      </c>
      <c r="C35" s="387">
        <v>100000</v>
      </c>
      <c r="D35" s="381">
        <v>500</v>
      </c>
      <c r="E35" s="1061">
        <v>99000</v>
      </c>
      <c r="F35" s="1062"/>
      <c r="G35" s="387">
        <v>100000</v>
      </c>
      <c r="H35" s="381">
        <v>500</v>
      </c>
    </row>
    <row r="36" spans="1:8" s="66" customFormat="1" ht="16.2" thickBot="1">
      <c r="A36" s="385">
        <v>2</v>
      </c>
      <c r="B36" s="386">
        <v>105000</v>
      </c>
      <c r="C36" s="387">
        <v>104000</v>
      </c>
      <c r="D36" s="381">
        <v>505</v>
      </c>
      <c r="E36" s="1061">
        <v>95000</v>
      </c>
      <c r="F36" s="1062"/>
      <c r="G36" s="387">
        <v>104000</v>
      </c>
      <c r="H36" s="381">
        <v>495</v>
      </c>
    </row>
    <row r="37" spans="1:8" s="66" customFormat="1" ht="16.2" thickBot="1">
      <c r="A37" s="385">
        <v>3</v>
      </c>
      <c r="B37" s="386">
        <v>100000</v>
      </c>
      <c r="C37" s="387">
        <v>108000</v>
      </c>
      <c r="D37" s="381">
        <v>525</v>
      </c>
      <c r="E37" s="1061">
        <v>102000</v>
      </c>
      <c r="F37" s="1062"/>
      <c r="G37" s="387">
        <v>108000</v>
      </c>
      <c r="H37" s="381">
        <v>475</v>
      </c>
    </row>
    <row r="38" spans="1:8" s="66" customFormat="1" ht="16.2" thickBot="1">
      <c r="A38" s="385">
        <v>4</v>
      </c>
      <c r="B38" s="386">
        <v>110000</v>
      </c>
      <c r="C38" s="387">
        <v>112000</v>
      </c>
      <c r="D38" s="381">
        <v>500</v>
      </c>
      <c r="E38" s="1061">
        <v>105000</v>
      </c>
      <c r="F38" s="1062"/>
      <c r="G38" s="387">
        <v>112000</v>
      </c>
      <c r="H38" s="381">
        <v>510</v>
      </c>
    </row>
    <row r="39" spans="1:8" s="66" customFormat="1" ht="16.2" thickBot="1">
      <c r="A39" s="385">
        <v>5</v>
      </c>
      <c r="B39" s="386">
        <v>120000</v>
      </c>
      <c r="C39" s="387">
        <v>116000</v>
      </c>
      <c r="D39" s="381">
        <v>550</v>
      </c>
      <c r="E39" s="1061">
        <v>111000</v>
      </c>
      <c r="F39" s="1062"/>
      <c r="G39" s="387">
        <v>116000</v>
      </c>
      <c r="H39" s="381">
        <v>525</v>
      </c>
    </row>
    <row r="40" spans="1:8" s="66" customFormat="1" ht="16.2" thickBot="1">
      <c r="A40" s="385">
        <v>6</v>
      </c>
      <c r="B40" s="386">
        <v>119000</v>
      </c>
      <c r="C40" s="387">
        <v>120000</v>
      </c>
      <c r="D40" s="381">
        <v>600</v>
      </c>
      <c r="E40" s="1061">
        <v>125000</v>
      </c>
      <c r="F40" s="1062"/>
      <c r="G40" s="387">
        <v>120000</v>
      </c>
      <c r="H40" s="381">
        <v>555</v>
      </c>
    </row>
    <row r="41" spans="1:8" s="66" customFormat="1" ht="16.2" thickBot="1">
      <c r="A41" s="385">
        <v>7</v>
      </c>
      <c r="B41" s="386">
        <v>130000</v>
      </c>
      <c r="C41" s="387">
        <v>124000</v>
      </c>
      <c r="D41" s="381">
        <v>595</v>
      </c>
      <c r="E41" s="1061">
        <v>130000</v>
      </c>
      <c r="F41" s="1062"/>
      <c r="G41" s="387">
        <v>124000</v>
      </c>
      <c r="H41" s="381">
        <v>625</v>
      </c>
    </row>
    <row r="42" spans="1:8" s="66" customFormat="1" ht="16.2" thickBot="1">
      <c r="A42" s="385">
        <v>8</v>
      </c>
      <c r="B42" s="386">
        <v>140000</v>
      </c>
      <c r="C42" s="387">
        <v>128000</v>
      </c>
      <c r="D42" s="381">
        <v>650</v>
      </c>
      <c r="E42" s="1061">
        <v>127000</v>
      </c>
      <c r="F42" s="1062"/>
      <c r="G42" s="387">
        <v>128000</v>
      </c>
      <c r="H42" s="381">
        <v>650</v>
      </c>
    </row>
    <row r="43" spans="1:8" s="66" customFormat="1" ht="16.2" thickBot="1">
      <c r="A43" s="385">
        <v>9</v>
      </c>
      <c r="B43" s="386">
        <v>135000</v>
      </c>
      <c r="C43" s="387">
        <v>132000</v>
      </c>
      <c r="D43" s="381">
        <v>700</v>
      </c>
      <c r="E43" s="1061">
        <v>120000</v>
      </c>
      <c r="F43" s="1062"/>
      <c r="G43" s="387">
        <v>132000</v>
      </c>
      <c r="H43" s="381">
        <v>635</v>
      </c>
    </row>
    <row r="44" spans="1:8" s="66" customFormat="1" ht="16.2" thickBot="1">
      <c r="A44" s="385">
        <v>10</v>
      </c>
      <c r="B44" s="386">
        <v>130000</v>
      </c>
      <c r="C44" s="387">
        <v>136000</v>
      </c>
      <c r="D44" s="381">
        <v>675</v>
      </c>
      <c r="E44" s="1061">
        <v>121000</v>
      </c>
      <c r="F44" s="1062"/>
      <c r="G44" s="387">
        <v>136000</v>
      </c>
      <c r="H44" s="381">
        <v>600</v>
      </c>
    </row>
    <row r="45" spans="1:8" s="66" customFormat="1">
      <c r="A45" s="146"/>
      <c r="B45" s="146"/>
      <c r="C45" s="146"/>
      <c r="D45" s="146"/>
      <c r="E45" s="146"/>
      <c r="F45" s="146"/>
      <c r="G45" s="146"/>
      <c r="H45" s="146"/>
    </row>
    <row r="46" spans="1:8" s="66" customFormat="1" ht="16.2" thickBot="1">
      <c r="A46" s="70"/>
    </row>
    <row r="47" spans="1:8" s="66" customFormat="1" ht="16.2" thickBot="1">
      <c r="B47" s="1066" t="s">
        <v>819</v>
      </c>
      <c r="C47" s="1067"/>
      <c r="D47" s="1067"/>
      <c r="E47" s="1067"/>
      <c r="F47" s="1067"/>
      <c r="G47" s="1067"/>
      <c r="H47" s="1072"/>
    </row>
    <row r="48" spans="1:8" s="66" customFormat="1" ht="16.2" thickBot="1">
      <c r="B48" s="1063" t="s">
        <v>814</v>
      </c>
      <c r="C48" s="1064"/>
      <c r="D48" s="1064"/>
      <c r="E48" s="380"/>
      <c r="F48" s="1067" t="s">
        <v>815</v>
      </c>
      <c r="G48" s="1067"/>
      <c r="H48" s="1072"/>
    </row>
    <row r="49" spans="1:8" s="66" customFormat="1" ht="63" thickBot="1">
      <c r="A49" s="380" t="s">
        <v>374</v>
      </c>
      <c r="B49" s="137" t="s">
        <v>816</v>
      </c>
      <c r="C49" s="187" t="s">
        <v>817</v>
      </c>
      <c r="D49" s="187" t="s">
        <v>818</v>
      </c>
      <c r="E49" s="1070" t="s">
        <v>816</v>
      </c>
      <c r="F49" s="1071"/>
      <c r="G49" s="138" t="s">
        <v>817</v>
      </c>
      <c r="H49" s="138" t="s">
        <v>818</v>
      </c>
    </row>
    <row r="50" spans="1:8" s="66" customFormat="1" ht="16.2" thickBot="1">
      <c r="A50" s="388">
        <v>1</v>
      </c>
      <c r="B50" s="386">
        <v>95000</v>
      </c>
      <c r="C50" s="387">
        <v>100000</v>
      </c>
      <c r="D50" s="381">
        <v>500</v>
      </c>
      <c r="E50" s="1061">
        <v>95000</v>
      </c>
      <c r="F50" s="1062"/>
      <c r="G50" s="387">
        <v>100000</v>
      </c>
      <c r="H50" s="381">
        <v>500</v>
      </c>
    </row>
    <row r="51" spans="1:8" s="66" customFormat="1" ht="16.2" thickBot="1">
      <c r="A51" s="388">
        <v>2</v>
      </c>
      <c r="B51" s="386">
        <v>100000</v>
      </c>
      <c r="C51" s="387">
        <v>104000</v>
      </c>
      <c r="D51" s="381">
        <v>475</v>
      </c>
      <c r="E51" s="1061">
        <v>100000</v>
      </c>
      <c r="F51" s="1062"/>
      <c r="G51" s="387">
        <v>104000</v>
      </c>
      <c r="H51" s="381">
        <v>475</v>
      </c>
    </row>
    <row r="52" spans="1:8" s="66" customFormat="1" ht="16.2" thickBot="1">
      <c r="A52" s="388">
        <v>3</v>
      </c>
      <c r="B52" s="386">
        <v>101000</v>
      </c>
      <c r="C52" s="387">
        <v>108000</v>
      </c>
      <c r="D52" s="381">
        <v>500</v>
      </c>
      <c r="E52" s="1061">
        <v>99000</v>
      </c>
      <c r="F52" s="1062"/>
      <c r="G52" s="387">
        <v>108000</v>
      </c>
      <c r="H52" s="381">
        <v>500</v>
      </c>
    </row>
    <row r="53" spans="1:8" s="66" customFormat="1" ht="16.2" thickBot="1">
      <c r="A53" s="388">
        <v>4</v>
      </c>
      <c r="B53" s="386">
        <v>105000</v>
      </c>
      <c r="C53" s="387">
        <v>112000</v>
      </c>
      <c r="D53" s="381">
        <v>505</v>
      </c>
      <c r="E53" s="1061">
        <v>95000</v>
      </c>
      <c r="F53" s="1062"/>
      <c r="G53" s="387">
        <v>112000</v>
      </c>
      <c r="H53" s="381">
        <v>495</v>
      </c>
    </row>
    <row r="54" spans="1:8" s="66" customFormat="1" ht="16.2" thickBot="1">
      <c r="A54" s="388">
        <v>5</v>
      </c>
      <c r="B54" s="386">
        <v>100000</v>
      </c>
      <c r="C54" s="387">
        <v>116000</v>
      </c>
      <c r="D54" s="381">
        <v>525</v>
      </c>
      <c r="E54" s="1061">
        <v>102000</v>
      </c>
      <c r="F54" s="1062"/>
      <c r="G54" s="387">
        <v>116000</v>
      </c>
      <c r="H54" s="381">
        <v>475</v>
      </c>
    </row>
    <row r="55" spans="1:8" s="66" customFormat="1" ht="16.2" thickBot="1">
      <c r="A55" s="388">
        <v>6</v>
      </c>
      <c r="B55" s="386">
        <v>110000</v>
      </c>
      <c r="C55" s="387">
        <v>120000</v>
      </c>
      <c r="D55" s="381">
        <v>500</v>
      </c>
      <c r="E55" s="1061">
        <v>105000</v>
      </c>
      <c r="F55" s="1062"/>
      <c r="G55" s="387">
        <v>120000</v>
      </c>
      <c r="H55" s="381">
        <v>510</v>
      </c>
    </row>
    <row r="56" spans="1:8" s="66" customFormat="1" ht="16.2" thickBot="1">
      <c r="A56" s="388">
        <v>7</v>
      </c>
      <c r="B56" s="386">
        <v>120000</v>
      </c>
      <c r="C56" s="387">
        <v>124000</v>
      </c>
      <c r="D56" s="381">
        <v>550</v>
      </c>
      <c r="E56" s="1061">
        <v>111000</v>
      </c>
      <c r="F56" s="1062"/>
      <c r="G56" s="387">
        <v>124000</v>
      </c>
      <c r="H56" s="381">
        <v>525</v>
      </c>
    </row>
    <row r="57" spans="1:8" s="66" customFormat="1" ht="16.2" thickBot="1">
      <c r="A57" s="388">
        <v>8</v>
      </c>
      <c r="B57" s="386">
        <v>119000</v>
      </c>
      <c r="C57" s="387">
        <v>128000</v>
      </c>
      <c r="D57" s="381">
        <v>600</v>
      </c>
      <c r="E57" s="1061">
        <v>125000</v>
      </c>
      <c r="F57" s="1062"/>
      <c r="G57" s="387">
        <v>128000</v>
      </c>
      <c r="H57" s="381">
        <v>555</v>
      </c>
    </row>
    <row r="58" spans="1:8" s="66" customFormat="1" ht="16.2" thickBot="1">
      <c r="A58" s="388">
        <v>9</v>
      </c>
      <c r="B58" s="386">
        <v>130000</v>
      </c>
      <c r="C58" s="387">
        <v>132000</v>
      </c>
      <c r="D58" s="381">
        <v>595</v>
      </c>
      <c r="E58" s="1061">
        <v>130000</v>
      </c>
      <c r="F58" s="1062"/>
      <c r="G58" s="387">
        <v>132000</v>
      </c>
      <c r="H58" s="381">
        <v>625</v>
      </c>
    </row>
    <row r="59" spans="1:8" s="66" customFormat="1" ht="16.2" thickBot="1">
      <c r="A59" s="388">
        <v>10</v>
      </c>
      <c r="B59" s="386">
        <v>140000</v>
      </c>
      <c r="C59" s="387">
        <v>136000</v>
      </c>
      <c r="D59" s="381">
        <v>650</v>
      </c>
      <c r="E59" s="1061">
        <v>127000</v>
      </c>
      <c r="F59" s="1062"/>
      <c r="G59" s="387">
        <v>136000</v>
      </c>
      <c r="H59" s="381">
        <v>650</v>
      </c>
    </row>
    <row r="60" spans="1:8" s="66" customFormat="1">
      <c r="A60" s="146"/>
      <c r="B60" s="146"/>
      <c r="C60" s="146"/>
      <c r="D60" s="146"/>
      <c r="E60" s="146"/>
      <c r="F60" s="146"/>
      <c r="G60" s="146"/>
      <c r="H60" s="146"/>
    </row>
    <row r="61" spans="1:8" s="66" customFormat="1" ht="15.6">
      <c r="A61" s="71" t="s">
        <v>820</v>
      </c>
    </row>
    <row r="62" spans="1:8" ht="15.6">
      <c r="A62" s="120" t="s">
        <v>24</v>
      </c>
    </row>
    <row r="63" spans="1:8" ht="15.6">
      <c r="A63" s="120"/>
    </row>
    <row r="64" spans="1:8" ht="15.6">
      <c r="A64" s="120"/>
    </row>
    <row r="65" spans="1:1" ht="15.6">
      <c r="A65" s="120"/>
    </row>
    <row r="66" spans="1:1" ht="15.6">
      <c r="A66" s="120"/>
    </row>
    <row r="67" spans="1:1" ht="15.6">
      <c r="A67" s="120"/>
    </row>
    <row r="68" spans="1:1" ht="15.6">
      <c r="A68" s="120"/>
    </row>
    <row r="69" spans="1:1" ht="15.6">
      <c r="A69" s="120"/>
    </row>
    <row r="70" spans="1:1" ht="15.6">
      <c r="A70" s="120"/>
    </row>
    <row r="71" spans="1:1" ht="15.6">
      <c r="A71" s="120"/>
    </row>
    <row r="72" spans="1:1" ht="15.6">
      <c r="A72" s="120"/>
    </row>
    <row r="73" spans="1:1" ht="15.6">
      <c r="A73" s="120"/>
    </row>
    <row r="74" spans="1:1" ht="15.6">
      <c r="A74" s="120"/>
    </row>
    <row r="75" spans="1:1" ht="15.6">
      <c r="A75" s="120"/>
    </row>
    <row r="76" spans="1:1" ht="15.6">
      <c r="A76" s="120"/>
    </row>
    <row r="77" spans="1:1" ht="15.6">
      <c r="A77" s="120"/>
    </row>
    <row r="78" spans="1:1" ht="15.6">
      <c r="A78" s="389"/>
    </row>
    <row r="79" spans="1:1" s="66" customFormat="1" ht="15.6">
      <c r="A79" s="71" t="s">
        <v>821</v>
      </c>
    </row>
    <row r="80" spans="1:1" ht="15.6">
      <c r="A80" s="120" t="s">
        <v>24</v>
      </c>
    </row>
  </sheetData>
  <mergeCells count="31">
    <mergeCell ref="E59:F59"/>
    <mergeCell ref="E53:F53"/>
    <mergeCell ref="E54:F54"/>
    <mergeCell ref="E55:F55"/>
    <mergeCell ref="E56:F56"/>
    <mergeCell ref="E57:F57"/>
    <mergeCell ref="E58:F58"/>
    <mergeCell ref="E52:F52"/>
    <mergeCell ref="E40:F40"/>
    <mergeCell ref="E41:F41"/>
    <mergeCell ref="E42:F42"/>
    <mergeCell ref="E43:F43"/>
    <mergeCell ref="E44:F44"/>
    <mergeCell ref="B47:H47"/>
    <mergeCell ref="B48:D48"/>
    <mergeCell ref="F48:H48"/>
    <mergeCell ref="E49:F49"/>
    <mergeCell ref="E50:F50"/>
    <mergeCell ref="E51:F51"/>
    <mergeCell ref="E39:F39"/>
    <mergeCell ref="B17:I17"/>
    <mergeCell ref="B18:E18"/>
    <mergeCell ref="F18:I18"/>
    <mergeCell ref="B32:H32"/>
    <mergeCell ref="B33:D33"/>
    <mergeCell ref="F33:H33"/>
    <mergeCell ref="E34:F34"/>
    <mergeCell ref="E35:F35"/>
    <mergeCell ref="E36:F36"/>
    <mergeCell ref="E37:F37"/>
    <mergeCell ref="E38:F3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30B98-A369-4AED-9EEE-F979821C07AF}">
  <sheetPr>
    <tabColor theme="5" tint="0.79998168889431442"/>
  </sheetPr>
  <dimension ref="A1:R84"/>
  <sheetViews>
    <sheetView topLeftCell="A58" workbookViewId="0">
      <selection activeCell="E65" sqref="E65"/>
    </sheetView>
  </sheetViews>
  <sheetFormatPr defaultColWidth="8.77734375" defaultRowHeight="13.2"/>
  <cols>
    <col min="1" max="1" width="8.77734375" style="412" customWidth="1"/>
    <col min="2" max="2" width="20.21875" style="412" bestFit="1" customWidth="1"/>
    <col min="3" max="6" width="14.21875" style="412" customWidth="1"/>
    <col min="7" max="9" width="11.44140625" style="412" customWidth="1"/>
    <col min="10" max="10" width="13.21875" style="412" bestFit="1" customWidth="1"/>
    <col min="11" max="11" width="18.21875" style="412" bestFit="1" customWidth="1"/>
    <col min="12" max="15" width="14.21875" style="412" customWidth="1"/>
    <col min="16" max="18" width="11.44140625" style="412" customWidth="1"/>
    <col min="19" max="19" width="8.77734375" style="412" customWidth="1"/>
    <col min="20" max="16384" width="8.77734375" style="412"/>
  </cols>
  <sheetData>
    <row r="1" spans="1:9" s="411" customFormat="1" ht="21">
      <c r="A1" s="411" t="s">
        <v>928</v>
      </c>
    </row>
    <row r="4" spans="1:9">
      <c r="B4" s="1073" t="s">
        <v>806</v>
      </c>
      <c r="C4" s="1073"/>
      <c r="D4" s="1073"/>
      <c r="E4" s="1073"/>
      <c r="F4" s="1073"/>
      <c r="G4" s="1073"/>
      <c r="H4" s="1073"/>
      <c r="I4" s="1073"/>
    </row>
    <row r="5" spans="1:9">
      <c r="B5" s="1073" t="s">
        <v>807</v>
      </c>
      <c r="C5" s="1073"/>
      <c r="D5" s="1073"/>
      <c r="E5" s="1073"/>
      <c r="F5" s="1073" t="s">
        <v>808</v>
      </c>
      <c r="G5" s="1073"/>
      <c r="H5" s="1073"/>
      <c r="I5" s="1073"/>
    </row>
    <row r="6" spans="1:9">
      <c r="A6" s="413" t="s">
        <v>374</v>
      </c>
      <c r="B6" s="413" t="s">
        <v>809</v>
      </c>
      <c r="C6" s="413" t="s">
        <v>810</v>
      </c>
      <c r="D6" s="413" t="s">
        <v>811</v>
      </c>
      <c r="E6" s="413" t="s">
        <v>812</v>
      </c>
      <c r="F6" s="413" t="s">
        <v>809</v>
      </c>
      <c r="G6" s="413" t="s">
        <v>810</v>
      </c>
      <c r="H6" s="413" t="s">
        <v>811</v>
      </c>
      <c r="I6" s="413" t="s">
        <v>812</v>
      </c>
    </row>
    <row r="7" spans="1:9">
      <c r="A7" s="413">
        <v>1</v>
      </c>
      <c r="B7" s="414">
        <v>0.01</v>
      </c>
      <c r="C7" s="415">
        <v>0.98</v>
      </c>
      <c r="D7" s="416">
        <v>0.04</v>
      </c>
      <c r="E7" s="416">
        <v>7.4999999999999997E-3</v>
      </c>
      <c r="F7" s="413"/>
      <c r="G7" s="415">
        <v>1</v>
      </c>
      <c r="H7" s="413"/>
      <c r="I7" s="413"/>
    </row>
    <row r="8" spans="1:9">
      <c r="A8" s="413">
        <v>2</v>
      </c>
      <c r="B8" s="414">
        <v>1.0999999999999999E-2</v>
      </c>
      <c r="C8" s="415">
        <f t="shared" ref="C8:C16" si="0">ROUND(C7*(1-B8)*(0.99),3)</f>
        <v>0.96</v>
      </c>
      <c r="D8" s="416">
        <v>0.04</v>
      </c>
      <c r="E8" s="416">
        <v>7.4999999999999997E-3</v>
      </c>
      <c r="F8" s="413"/>
      <c r="G8" s="415">
        <v>1</v>
      </c>
      <c r="H8" s="413"/>
      <c r="I8" s="413"/>
    </row>
    <row r="9" spans="1:9">
      <c r="A9" s="413">
        <v>3</v>
      </c>
      <c r="B9" s="414">
        <v>1.2E-2</v>
      </c>
      <c r="C9" s="415">
        <f t="shared" si="0"/>
        <v>0.93899999999999995</v>
      </c>
      <c r="D9" s="416">
        <v>0.04</v>
      </c>
      <c r="E9" s="416">
        <v>7.4999999999999997E-3</v>
      </c>
      <c r="F9" s="414">
        <f t="shared" ref="F9:F16" si="1">B9</f>
        <v>1.2E-2</v>
      </c>
      <c r="G9" s="415">
        <f t="shared" ref="G9:G16" si="2">ROUND(C9/C$8,3)</f>
        <v>0.97799999999999998</v>
      </c>
      <c r="H9" s="416">
        <v>4.4999999999999998E-2</v>
      </c>
      <c r="I9" s="416">
        <v>0.01</v>
      </c>
    </row>
    <row r="10" spans="1:9">
      <c r="A10" s="413">
        <v>4</v>
      </c>
      <c r="B10" s="414">
        <v>1.35E-2</v>
      </c>
      <c r="C10" s="415">
        <f t="shared" si="0"/>
        <v>0.91700000000000004</v>
      </c>
      <c r="D10" s="416">
        <v>0.04</v>
      </c>
      <c r="E10" s="416">
        <v>7.4999999999999997E-3</v>
      </c>
      <c r="F10" s="414">
        <f t="shared" si="1"/>
        <v>1.35E-2</v>
      </c>
      <c r="G10" s="415">
        <f t="shared" si="2"/>
        <v>0.95499999999999996</v>
      </c>
      <c r="H10" s="416">
        <v>4.4999999999999998E-2</v>
      </c>
      <c r="I10" s="416">
        <v>0.01</v>
      </c>
    </row>
    <row r="11" spans="1:9">
      <c r="A11" s="413">
        <v>5</v>
      </c>
      <c r="B11" s="414">
        <v>1.4999999999999999E-2</v>
      </c>
      <c r="C11" s="415">
        <f t="shared" si="0"/>
        <v>0.89400000000000002</v>
      </c>
      <c r="D11" s="416">
        <v>0.04</v>
      </c>
      <c r="E11" s="416">
        <v>7.4999999999999997E-3</v>
      </c>
      <c r="F11" s="414">
        <f t="shared" si="1"/>
        <v>1.4999999999999999E-2</v>
      </c>
      <c r="G11" s="415">
        <f t="shared" si="2"/>
        <v>0.93100000000000005</v>
      </c>
      <c r="H11" s="416">
        <v>4.4999999999999998E-2</v>
      </c>
      <c r="I11" s="416">
        <v>0.01</v>
      </c>
    </row>
    <row r="12" spans="1:9">
      <c r="A12" s="413">
        <v>6</v>
      </c>
      <c r="B12" s="414">
        <v>1.6500000000000001E-2</v>
      </c>
      <c r="C12" s="415">
        <f t="shared" si="0"/>
        <v>0.87</v>
      </c>
      <c r="D12" s="416">
        <v>0.04</v>
      </c>
      <c r="E12" s="416">
        <v>7.4999999999999997E-3</v>
      </c>
      <c r="F12" s="414">
        <f t="shared" si="1"/>
        <v>1.6500000000000001E-2</v>
      </c>
      <c r="G12" s="415">
        <f t="shared" si="2"/>
        <v>0.90600000000000003</v>
      </c>
      <c r="H12" s="416">
        <v>4.4999999999999998E-2</v>
      </c>
      <c r="I12" s="416">
        <v>0.01</v>
      </c>
    </row>
    <row r="13" spans="1:9">
      <c r="A13" s="413">
        <v>7</v>
      </c>
      <c r="B13" s="414">
        <v>1.7999999999999999E-2</v>
      </c>
      <c r="C13" s="415">
        <f t="shared" si="0"/>
        <v>0.84599999999999997</v>
      </c>
      <c r="D13" s="416">
        <v>0.04</v>
      </c>
      <c r="E13" s="416">
        <v>7.4999999999999997E-3</v>
      </c>
      <c r="F13" s="414">
        <f t="shared" si="1"/>
        <v>1.7999999999999999E-2</v>
      </c>
      <c r="G13" s="415">
        <f t="shared" si="2"/>
        <v>0.88100000000000001</v>
      </c>
      <c r="H13" s="416">
        <v>4.4999999999999998E-2</v>
      </c>
      <c r="I13" s="416">
        <v>0.01</v>
      </c>
    </row>
    <row r="14" spans="1:9">
      <c r="A14" s="413">
        <v>8</v>
      </c>
      <c r="B14" s="414">
        <v>0.02</v>
      </c>
      <c r="C14" s="415">
        <f t="shared" si="0"/>
        <v>0.82099999999999995</v>
      </c>
      <c r="D14" s="416">
        <v>0.04</v>
      </c>
      <c r="E14" s="416">
        <v>7.4999999999999997E-3</v>
      </c>
      <c r="F14" s="414">
        <f t="shared" si="1"/>
        <v>0.02</v>
      </c>
      <c r="G14" s="415">
        <f t="shared" si="2"/>
        <v>0.85499999999999998</v>
      </c>
      <c r="H14" s="416">
        <v>4.4999999999999998E-2</v>
      </c>
      <c r="I14" s="416">
        <v>0.01</v>
      </c>
    </row>
    <row r="15" spans="1:9">
      <c r="A15" s="413">
        <v>9</v>
      </c>
      <c r="B15" s="414">
        <v>2.1999999999999999E-2</v>
      </c>
      <c r="C15" s="415">
        <f t="shared" si="0"/>
        <v>0.79500000000000004</v>
      </c>
      <c r="D15" s="416">
        <v>0.04</v>
      </c>
      <c r="E15" s="416">
        <v>7.4999999999999997E-3</v>
      </c>
      <c r="F15" s="414">
        <f t="shared" si="1"/>
        <v>2.1999999999999999E-2</v>
      </c>
      <c r="G15" s="415">
        <f t="shared" si="2"/>
        <v>0.82799999999999996</v>
      </c>
      <c r="H15" s="416">
        <v>4.4999999999999998E-2</v>
      </c>
      <c r="I15" s="416">
        <v>0.01</v>
      </c>
    </row>
    <row r="16" spans="1:9">
      <c r="A16" s="413">
        <v>10</v>
      </c>
      <c r="B16" s="414">
        <v>2.4E-2</v>
      </c>
      <c r="C16" s="415">
        <f t="shared" si="0"/>
        <v>0.76800000000000002</v>
      </c>
      <c r="D16" s="416">
        <v>0.04</v>
      </c>
      <c r="E16" s="416">
        <v>7.4999999999999997E-3</v>
      </c>
      <c r="F16" s="414">
        <f t="shared" si="1"/>
        <v>2.4E-2</v>
      </c>
      <c r="G16" s="415">
        <f t="shared" si="2"/>
        <v>0.8</v>
      </c>
      <c r="H16" s="416">
        <v>4.4999999999999998E-2</v>
      </c>
      <c r="I16" s="416">
        <v>0.01</v>
      </c>
    </row>
    <row r="17" spans="1:15">
      <c r="C17" s="417"/>
    </row>
    <row r="21" spans="1:15">
      <c r="B21" s="1073" t="s">
        <v>813</v>
      </c>
      <c r="C21" s="1073"/>
      <c r="D21" s="1073"/>
      <c r="E21" s="1073"/>
      <c r="F21" s="1073"/>
      <c r="G21" s="1073"/>
      <c r="H21" s="418"/>
      <c r="J21" s="1073" t="s">
        <v>819</v>
      </c>
      <c r="K21" s="1073"/>
      <c r="L21" s="1073"/>
      <c r="M21" s="1073"/>
      <c r="N21" s="1073"/>
      <c r="O21" s="1073"/>
    </row>
    <row r="22" spans="1:15">
      <c r="B22" s="1073" t="s">
        <v>814</v>
      </c>
      <c r="C22" s="1073"/>
      <c r="D22" s="1073"/>
      <c r="E22" s="1073" t="s">
        <v>815</v>
      </c>
      <c r="F22" s="1073"/>
      <c r="G22" s="1073"/>
      <c r="H22" s="418"/>
      <c r="J22" s="1073" t="s">
        <v>814</v>
      </c>
      <c r="K22" s="1073"/>
      <c r="L22" s="1073"/>
      <c r="M22" s="1073" t="s">
        <v>815</v>
      </c>
      <c r="N22" s="1073"/>
      <c r="O22" s="1073"/>
    </row>
    <row r="23" spans="1:15">
      <c r="A23" s="419" t="s">
        <v>374</v>
      </c>
      <c r="B23" s="420" t="s">
        <v>816</v>
      </c>
      <c r="C23" s="420" t="s">
        <v>817</v>
      </c>
      <c r="D23" s="420" t="s">
        <v>818</v>
      </c>
      <c r="E23" s="420" t="s">
        <v>816</v>
      </c>
      <c r="F23" s="420" t="s">
        <v>817</v>
      </c>
      <c r="G23" s="420" t="s">
        <v>818</v>
      </c>
      <c r="H23" s="421"/>
      <c r="I23" s="419" t="s">
        <v>374</v>
      </c>
      <c r="J23" s="420" t="s">
        <v>816</v>
      </c>
      <c r="K23" s="420" t="s">
        <v>817</v>
      </c>
      <c r="L23" s="420" t="s">
        <v>818</v>
      </c>
      <c r="M23" s="420" t="s">
        <v>816</v>
      </c>
      <c r="N23" s="420" t="s">
        <v>817</v>
      </c>
      <c r="O23" s="420" t="s">
        <v>818</v>
      </c>
    </row>
    <row r="24" spans="1:15">
      <c r="A24" s="419">
        <v>1</v>
      </c>
      <c r="B24" s="422">
        <v>101000</v>
      </c>
      <c r="C24" s="422">
        <v>100000</v>
      </c>
      <c r="D24" s="422">
        <v>500</v>
      </c>
      <c r="E24" s="422">
        <v>99000</v>
      </c>
      <c r="F24" s="422">
        <f t="shared" ref="F24:F33" si="3">C24</f>
        <v>100000</v>
      </c>
      <c r="G24" s="422">
        <v>500</v>
      </c>
      <c r="H24" s="423"/>
      <c r="I24" s="419">
        <v>1</v>
      </c>
      <c r="J24" s="422">
        <v>95000</v>
      </c>
      <c r="K24" s="422">
        <f t="shared" ref="K24:K33" si="4">F24</f>
        <v>100000</v>
      </c>
      <c r="L24" s="422">
        <v>500</v>
      </c>
      <c r="M24" s="422">
        <v>95000</v>
      </c>
      <c r="N24" s="422">
        <f t="shared" ref="N24:N33" si="5">K24</f>
        <v>100000</v>
      </c>
      <c r="O24" s="422">
        <v>500</v>
      </c>
    </row>
    <row r="25" spans="1:15">
      <c r="A25" s="419">
        <v>2</v>
      </c>
      <c r="B25" s="422">
        <v>105000</v>
      </c>
      <c r="C25" s="422">
        <f t="shared" ref="C25:C33" si="6">C24+4000</f>
        <v>104000</v>
      </c>
      <c r="D25" s="422">
        <f t="shared" ref="D25:D33" si="7">B24*0.5%</f>
        <v>505</v>
      </c>
      <c r="E25" s="422">
        <v>95000</v>
      </c>
      <c r="F25" s="422">
        <f t="shared" si="3"/>
        <v>104000</v>
      </c>
      <c r="G25" s="422">
        <f t="shared" ref="G25:G33" si="8">E24*0.5%</f>
        <v>495</v>
      </c>
      <c r="H25" s="423"/>
      <c r="I25" s="419">
        <v>2</v>
      </c>
      <c r="J25" s="422">
        <v>100000</v>
      </c>
      <c r="K25" s="422">
        <f t="shared" si="4"/>
        <v>104000</v>
      </c>
      <c r="L25" s="422">
        <f t="shared" ref="L25:L33" si="9">J24*0.5%</f>
        <v>475</v>
      </c>
      <c r="M25" s="422">
        <v>100000</v>
      </c>
      <c r="N25" s="422">
        <f t="shared" si="5"/>
        <v>104000</v>
      </c>
      <c r="O25" s="422">
        <f t="shared" ref="O25:O33" si="10">M24*0.5%</f>
        <v>475</v>
      </c>
    </row>
    <row r="26" spans="1:15">
      <c r="A26" s="419">
        <v>3</v>
      </c>
      <c r="B26" s="422">
        <v>100000</v>
      </c>
      <c r="C26" s="422">
        <f t="shared" si="6"/>
        <v>108000</v>
      </c>
      <c r="D26" s="422">
        <f t="shared" si="7"/>
        <v>525</v>
      </c>
      <c r="E26" s="422">
        <v>102000</v>
      </c>
      <c r="F26" s="422">
        <f t="shared" si="3"/>
        <v>108000</v>
      </c>
      <c r="G26" s="422">
        <f t="shared" si="8"/>
        <v>475</v>
      </c>
      <c r="H26" s="423"/>
      <c r="I26" s="419">
        <v>3</v>
      </c>
      <c r="J26" s="422">
        <v>101000</v>
      </c>
      <c r="K26" s="422">
        <f t="shared" si="4"/>
        <v>108000</v>
      </c>
      <c r="L26" s="422">
        <f t="shared" si="9"/>
        <v>500</v>
      </c>
      <c r="M26" s="422">
        <v>99000</v>
      </c>
      <c r="N26" s="422">
        <f t="shared" si="5"/>
        <v>108000</v>
      </c>
      <c r="O26" s="422">
        <f t="shared" si="10"/>
        <v>500</v>
      </c>
    </row>
    <row r="27" spans="1:15">
      <c r="A27" s="419">
        <v>4</v>
      </c>
      <c r="B27" s="422">
        <v>110000</v>
      </c>
      <c r="C27" s="422">
        <f t="shared" si="6"/>
        <v>112000</v>
      </c>
      <c r="D27" s="422">
        <f t="shared" si="7"/>
        <v>500</v>
      </c>
      <c r="E27" s="422">
        <v>105000</v>
      </c>
      <c r="F27" s="422">
        <f t="shared" si="3"/>
        <v>112000</v>
      </c>
      <c r="G27" s="422">
        <f t="shared" si="8"/>
        <v>510</v>
      </c>
      <c r="H27" s="423"/>
      <c r="I27" s="419">
        <v>4</v>
      </c>
      <c r="J27" s="422">
        <v>105000</v>
      </c>
      <c r="K27" s="422">
        <f t="shared" si="4"/>
        <v>112000</v>
      </c>
      <c r="L27" s="422">
        <f t="shared" si="9"/>
        <v>505</v>
      </c>
      <c r="M27" s="422">
        <v>95000</v>
      </c>
      <c r="N27" s="422">
        <f t="shared" si="5"/>
        <v>112000</v>
      </c>
      <c r="O27" s="422">
        <f t="shared" si="10"/>
        <v>495</v>
      </c>
    </row>
    <row r="28" spans="1:15">
      <c r="A28" s="419">
        <v>5</v>
      </c>
      <c r="B28" s="422">
        <v>120000</v>
      </c>
      <c r="C28" s="422">
        <f t="shared" si="6"/>
        <v>116000</v>
      </c>
      <c r="D28" s="422">
        <f t="shared" si="7"/>
        <v>550</v>
      </c>
      <c r="E28" s="422">
        <v>111000</v>
      </c>
      <c r="F28" s="422">
        <f t="shared" si="3"/>
        <v>116000</v>
      </c>
      <c r="G28" s="422">
        <f t="shared" si="8"/>
        <v>525</v>
      </c>
      <c r="H28" s="423"/>
      <c r="I28" s="419">
        <v>5</v>
      </c>
      <c r="J28" s="422">
        <v>100000</v>
      </c>
      <c r="K28" s="422">
        <f t="shared" si="4"/>
        <v>116000</v>
      </c>
      <c r="L28" s="422">
        <f t="shared" si="9"/>
        <v>525</v>
      </c>
      <c r="M28" s="422">
        <v>102000</v>
      </c>
      <c r="N28" s="422">
        <f t="shared" si="5"/>
        <v>116000</v>
      </c>
      <c r="O28" s="422">
        <f t="shared" si="10"/>
        <v>475</v>
      </c>
    </row>
    <row r="29" spans="1:15">
      <c r="A29" s="419">
        <v>6</v>
      </c>
      <c r="B29" s="422">
        <v>119000</v>
      </c>
      <c r="C29" s="422">
        <f t="shared" si="6"/>
        <v>120000</v>
      </c>
      <c r="D29" s="422">
        <f t="shared" si="7"/>
        <v>600</v>
      </c>
      <c r="E29" s="422">
        <v>125000</v>
      </c>
      <c r="F29" s="422">
        <f t="shared" si="3"/>
        <v>120000</v>
      </c>
      <c r="G29" s="422">
        <f t="shared" si="8"/>
        <v>555</v>
      </c>
      <c r="H29" s="423"/>
      <c r="I29" s="419">
        <v>6</v>
      </c>
      <c r="J29" s="422">
        <v>110000</v>
      </c>
      <c r="K29" s="422">
        <f t="shared" si="4"/>
        <v>120000</v>
      </c>
      <c r="L29" s="422">
        <f t="shared" si="9"/>
        <v>500</v>
      </c>
      <c r="M29" s="422">
        <v>105000</v>
      </c>
      <c r="N29" s="422">
        <f t="shared" si="5"/>
        <v>120000</v>
      </c>
      <c r="O29" s="422">
        <f t="shared" si="10"/>
        <v>510</v>
      </c>
    </row>
    <row r="30" spans="1:15">
      <c r="A30" s="419">
        <v>7</v>
      </c>
      <c r="B30" s="422">
        <v>130000</v>
      </c>
      <c r="C30" s="422">
        <f t="shared" si="6"/>
        <v>124000</v>
      </c>
      <c r="D30" s="422">
        <f t="shared" si="7"/>
        <v>595</v>
      </c>
      <c r="E30" s="422">
        <v>130000</v>
      </c>
      <c r="F30" s="422">
        <f t="shared" si="3"/>
        <v>124000</v>
      </c>
      <c r="G30" s="422">
        <f t="shared" si="8"/>
        <v>625</v>
      </c>
      <c r="H30" s="423"/>
      <c r="I30" s="419">
        <v>7</v>
      </c>
      <c r="J30" s="422">
        <v>120000</v>
      </c>
      <c r="K30" s="422">
        <f t="shared" si="4"/>
        <v>124000</v>
      </c>
      <c r="L30" s="422">
        <f t="shared" si="9"/>
        <v>550</v>
      </c>
      <c r="M30" s="422">
        <v>111000</v>
      </c>
      <c r="N30" s="422">
        <f t="shared" si="5"/>
        <v>124000</v>
      </c>
      <c r="O30" s="422">
        <f t="shared" si="10"/>
        <v>525</v>
      </c>
    </row>
    <row r="31" spans="1:15">
      <c r="A31" s="419">
        <v>8</v>
      </c>
      <c r="B31" s="422">
        <v>140000</v>
      </c>
      <c r="C31" s="422">
        <f t="shared" si="6"/>
        <v>128000</v>
      </c>
      <c r="D31" s="422">
        <f t="shared" si="7"/>
        <v>650</v>
      </c>
      <c r="E31" s="422">
        <v>127000</v>
      </c>
      <c r="F31" s="422">
        <f t="shared" si="3"/>
        <v>128000</v>
      </c>
      <c r="G31" s="422">
        <f t="shared" si="8"/>
        <v>650</v>
      </c>
      <c r="H31" s="423"/>
      <c r="I31" s="419">
        <v>8</v>
      </c>
      <c r="J31" s="422">
        <v>119000</v>
      </c>
      <c r="K31" s="422">
        <f t="shared" si="4"/>
        <v>128000</v>
      </c>
      <c r="L31" s="422">
        <f t="shared" si="9"/>
        <v>600</v>
      </c>
      <c r="M31" s="422">
        <v>125000</v>
      </c>
      <c r="N31" s="422">
        <f t="shared" si="5"/>
        <v>128000</v>
      </c>
      <c r="O31" s="422">
        <f t="shared" si="10"/>
        <v>555</v>
      </c>
    </row>
    <row r="32" spans="1:15">
      <c r="A32" s="419">
        <v>9</v>
      </c>
      <c r="B32" s="422">
        <v>135000</v>
      </c>
      <c r="C32" s="422">
        <f t="shared" si="6"/>
        <v>132000</v>
      </c>
      <c r="D32" s="422">
        <f t="shared" si="7"/>
        <v>700</v>
      </c>
      <c r="E32" s="422">
        <v>120000</v>
      </c>
      <c r="F32" s="422">
        <f t="shared" si="3"/>
        <v>132000</v>
      </c>
      <c r="G32" s="422">
        <f t="shared" si="8"/>
        <v>635</v>
      </c>
      <c r="H32" s="423"/>
      <c r="I32" s="419">
        <v>9</v>
      </c>
      <c r="J32" s="422">
        <v>130000</v>
      </c>
      <c r="K32" s="422">
        <f t="shared" si="4"/>
        <v>132000</v>
      </c>
      <c r="L32" s="422">
        <f t="shared" si="9"/>
        <v>595</v>
      </c>
      <c r="M32" s="422">
        <v>130000</v>
      </c>
      <c r="N32" s="422">
        <f t="shared" si="5"/>
        <v>132000</v>
      </c>
      <c r="O32" s="422">
        <f t="shared" si="10"/>
        <v>625</v>
      </c>
    </row>
    <row r="33" spans="1:18">
      <c r="A33" s="419">
        <v>10</v>
      </c>
      <c r="B33" s="422">
        <v>130000</v>
      </c>
      <c r="C33" s="422">
        <f t="shared" si="6"/>
        <v>136000</v>
      </c>
      <c r="D33" s="422">
        <f t="shared" si="7"/>
        <v>675</v>
      </c>
      <c r="E33" s="422">
        <v>121000</v>
      </c>
      <c r="F33" s="422">
        <f t="shared" si="3"/>
        <v>136000</v>
      </c>
      <c r="G33" s="422">
        <f t="shared" si="8"/>
        <v>600</v>
      </c>
      <c r="H33" s="423"/>
      <c r="I33" s="419">
        <v>10</v>
      </c>
      <c r="J33" s="422">
        <v>140000</v>
      </c>
      <c r="K33" s="422">
        <f t="shared" si="4"/>
        <v>136000</v>
      </c>
      <c r="L33" s="422">
        <f t="shared" si="9"/>
        <v>650</v>
      </c>
      <c r="M33" s="422">
        <v>127000</v>
      </c>
      <c r="N33" s="422">
        <f t="shared" si="5"/>
        <v>136000</v>
      </c>
      <c r="O33" s="422">
        <f t="shared" si="10"/>
        <v>650</v>
      </c>
    </row>
    <row r="34" spans="1:18">
      <c r="A34" s="418"/>
      <c r="B34" s="424"/>
      <c r="C34" s="424"/>
      <c r="D34" s="424"/>
      <c r="E34" s="424"/>
      <c r="F34" s="424"/>
      <c r="G34" s="424"/>
      <c r="H34" s="424"/>
      <c r="I34" s="424"/>
      <c r="J34" s="424"/>
      <c r="K34" s="424"/>
      <c r="L34" s="424"/>
      <c r="M34" s="424"/>
    </row>
    <row r="35" spans="1:18" s="425" customFormat="1" ht="21">
      <c r="A35" s="425" t="s">
        <v>929</v>
      </c>
    </row>
    <row r="36" spans="1:18">
      <c r="A36" s="418"/>
      <c r="B36" s="424"/>
      <c r="C36" s="424"/>
      <c r="D36" s="424"/>
      <c r="E36" s="424"/>
      <c r="F36" s="424"/>
      <c r="G36" s="424"/>
      <c r="H36" s="424"/>
      <c r="I36" s="424"/>
      <c r="J36" s="424"/>
      <c r="K36" s="424"/>
      <c r="L36" s="424"/>
      <c r="M36" s="424"/>
    </row>
    <row r="37" spans="1:18">
      <c r="C37" s="426" t="s">
        <v>930</v>
      </c>
      <c r="L37" s="426" t="s">
        <v>930</v>
      </c>
    </row>
    <row r="38" spans="1:18">
      <c r="C38" s="426" t="s">
        <v>814</v>
      </c>
      <c r="G38" s="426" t="s">
        <v>931</v>
      </c>
      <c r="L38" s="426" t="s">
        <v>815</v>
      </c>
    </row>
    <row r="39" spans="1:18" ht="39.6">
      <c r="C39" s="412" t="s">
        <v>374</v>
      </c>
      <c r="D39" s="427" t="s">
        <v>932</v>
      </c>
      <c r="E39" s="427" t="s">
        <v>933</v>
      </c>
      <c r="F39" s="427" t="s">
        <v>934</v>
      </c>
      <c r="G39" s="428" t="s">
        <v>935</v>
      </c>
      <c r="H39" s="428" t="s">
        <v>936</v>
      </c>
      <c r="I39" s="428" t="s">
        <v>937</v>
      </c>
      <c r="L39" s="412" t="s">
        <v>374</v>
      </c>
      <c r="M39" s="427" t="s">
        <v>932</v>
      </c>
      <c r="N39" s="427" t="s">
        <v>933</v>
      </c>
      <c r="O39" s="427" t="s">
        <v>934</v>
      </c>
      <c r="P39" s="428" t="s">
        <v>935</v>
      </c>
      <c r="Q39" s="428" t="s">
        <v>936</v>
      </c>
      <c r="R39" s="428" t="s">
        <v>937</v>
      </c>
    </row>
    <row r="40" spans="1:18">
      <c r="C40" s="412">
        <v>1</v>
      </c>
      <c r="D40" s="429">
        <f>D24*1</f>
        <v>500</v>
      </c>
      <c r="E40" s="429">
        <f>B7*1*MAX(B24,C24)</f>
        <v>1010</v>
      </c>
      <c r="F40" s="429">
        <f>B24*1*B7</f>
        <v>1010</v>
      </c>
      <c r="G40" s="430">
        <f t="shared" ref="G40:G49" si="11">MAX(0,E40-F40)</f>
        <v>0</v>
      </c>
      <c r="H40" s="430">
        <f>NPV($E$51,G40:G49)</f>
        <v>184.38271064145621</v>
      </c>
      <c r="I40" s="430">
        <f>NPV($E$51,D41:D49)+D40</f>
        <v>4223.602311997568</v>
      </c>
      <c r="J40" s="431"/>
      <c r="L40" s="412">
        <v>1</v>
      </c>
      <c r="M40" s="429">
        <f>G24*1</f>
        <v>500</v>
      </c>
      <c r="N40" s="429">
        <f>B7*1*MAX(E24:F24)</f>
        <v>1000</v>
      </c>
      <c r="O40" s="429">
        <f>B7*1*E24</f>
        <v>990</v>
      </c>
      <c r="P40" s="430">
        <f t="shared" ref="P40:P49" si="12">MAX(0,N40-O40)</f>
        <v>10</v>
      </c>
      <c r="Q40" s="430">
        <f>NPV($E$51,P40:P49)</f>
        <v>620.69778307077866</v>
      </c>
      <c r="R40" s="430">
        <f>NPV($E$51,M41:M49)+M40</f>
        <v>4071.4040499829212</v>
      </c>
    </row>
    <row r="41" spans="1:18">
      <c r="C41" s="412">
        <f t="shared" ref="C41:C49" si="13">C40+1</f>
        <v>2</v>
      </c>
      <c r="D41" s="429">
        <f t="shared" ref="D41:D49" si="14">D25*C7</f>
        <v>494.9</v>
      </c>
      <c r="E41" s="429">
        <f t="shared" ref="E41:E49" si="15">B8*C7*MAX(B25,C25)</f>
        <v>1131.8999999999999</v>
      </c>
      <c r="F41" s="429">
        <f t="shared" ref="F41:F49" si="16">B25*C7*B8</f>
        <v>1131.8999999999999</v>
      </c>
      <c r="G41" s="430">
        <f t="shared" si="11"/>
        <v>0</v>
      </c>
      <c r="H41" s="431"/>
      <c r="I41" s="431"/>
      <c r="J41" s="431"/>
      <c r="L41" s="412">
        <f t="shared" ref="L41:L49" si="17">L40+1</f>
        <v>2</v>
      </c>
      <c r="M41" s="429">
        <f t="shared" ref="M41:M49" si="18">G25*C7</f>
        <v>485.09999999999997</v>
      </c>
      <c r="N41" s="429">
        <f t="shared" ref="N41:N49" si="19">B8*C7*MAX(E25:F25)</f>
        <v>1121.1199999999999</v>
      </c>
      <c r="O41" s="429">
        <f t="shared" ref="O41:O49" si="20">B8*C7*E25</f>
        <v>1024.0999999999999</v>
      </c>
      <c r="P41" s="430">
        <f t="shared" si="12"/>
        <v>97.019999999999982</v>
      </c>
    </row>
    <row r="42" spans="1:18">
      <c r="C42" s="412">
        <f t="shared" si="13"/>
        <v>3</v>
      </c>
      <c r="D42" s="429">
        <f t="shared" si="14"/>
        <v>504</v>
      </c>
      <c r="E42" s="429">
        <f t="shared" si="15"/>
        <v>1244.1599999999999</v>
      </c>
      <c r="F42" s="429">
        <f t="shared" si="16"/>
        <v>1152</v>
      </c>
      <c r="G42" s="430">
        <f t="shared" si="11"/>
        <v>92.159999999999854</v>
      </c>
      <c r="H42" s="431"/>
      <c r="I42" s="431"/>
      <c r="J42" s="431"/>
      <c r="L42" s="412">
        <f t="shared" si="17"/>
        <v>3</v>
      </c>
      <c r="M42" s="429">
        <f t="shared" si="18"/>
        <v>456</v>
      </c>
      <c r="N42" s="429">
        <f t="shared" si="19"/>
        <v>1244.1599999999999</v>
      </c>
      <c r="O42" s="429">
        <f t="shared" si="20"/>
        <v>1175.04</v>
      </c>
      <c r="P42" s="430">
        <f t="shared" si="12"/>
        <v>69.119999999999891</v>
      </c>
    </row>
    <row r="43" spans="1:18">
      <c r="C43" s="412">
        <f t="shared" si="13"/>
        <v>4</v>
      </c>
      <c r="D43" s="429">
        <f t="shared" si="14"/>
        <v>469.5</v>
      </c>
      <c r="E43" s="429">
        <f t="shared" si="15"/>
        <v>1419.7679999999998</v>
      </c>
      <c r="F43" s="429">
        <f t="shared" si="16"/>
        <v>1394.415</v>
      </c>
      <c r="G43" s="430">
        <f t="shared" si="11"/>
        <v>25.352999999999838</v>
      </c>
      <c r="H43" s="431"/>
      <c r="I43" s="431"/>
      <c r="J43" s="431"/>
      <c r="L43" s="412">
        <f t="shared" si="17"/>
        <v>4</v>
      </c>
      <c r="M43" s="429">
        <f t="shared" si="18"/>
        <v>478.89</v>
      </c>
      <c r="N43" s="429">
        <f t="shared" si="19"/>
        <v>1419.7679999999998</v>
      </c>
      <c r="O43" s="429">
        <f t="shared" si="20"/>
        <v>1331.0324999999998</v>
      </c>
      <c r="P43" s="430">
        <f t="shared" si="12"/>
        <v>88.735500000000002</v>
      </c>
    </row>
    <row r="44" spans="1:18">
      <c r="C44" s="412">
        <f t="shared" si="13"/>
        <v>5</v>
      </c>
      <c r="D44" s="429">
        <f t="shared" si="14"/>
        <v>504.35</v>
      </c>
      <c r="E44" s="429">
        <f t="shared" si="15"/>
        <v>1650.6</v>
      </c>
      <c r="F44" s="429">
        <f t="shared" si="16"/>
        <v>1650.6</v>
      </c>
      <c r="G44" s="430">
        <f t="shared" si="11"/>
        <v>0</v>
      </c>
      <c r="H44" s="431"/>
      <c r="I44" s="431"/>
      <c r="J44" s="431"/>
      <c r="L44" s="412">
        <f t="shared" si="17"/>
        <v>5</v>
      </c>
      <c r="M44" s="429">
        <f t="shared" si="18"/>
        <v>481.42500000000001</v>
      </c>
      <c r="N44" s="429">
        <f t="shared" si="19"/>
        <v>1595.58</v>
      </c>
      <c r="O44" s="429">
        <f t="shared" si="20"/>
        <v>1526.8050000000001</v>
      </c>
      <c r="P44" s="430">
        <f t="shared" si="12"/>
        <v>68.774999999999864</v>
      </c>
    </row>
    <row r="45" spans="1:18">
      <c r="C45" s="412">
        <f t="shared" si="13"/>
        <v>6</v>
      </c>
      <c r="D45" s="429">
        <f t="shared" si="14"/>
        <v>536.4</v>
      </c>
      <c r="E45" s="429">
        <f t="shared" si="15"/>
        <v>1770.1200000000001</v>
      </c>
      <c r="F45" s="429">
        <f t="shared" si="16"/>
        <v>1755.3690000000001</v>
      </c>
      <c r="G45" s="430">
        <f t="shared" si="11"/>
        <v>14.750999999999976</v>
      </c>
      <c r="H45" s="431"/>
      <c r="I45" s="431"/>
      <c r="J45" s="431"/>
      <c r="L45" s="412">
        <f t="shared" si="17"/>
        <v>6</v>
      </c>
      <c r="M45" s="429">
        <f t="shared" si="18"/>
        <v>496.17</v>
      </c>
      <c r="N45" s="429">
        <f t="shared" si="19"/>
        <v>1843.875</v>
      </c>
      <c r="O45" s="429">
        <f t="shared" si="20"/>
        <v>1843.875</v>
      </c>
      <c r="P45" s="430">
        <f t="shared" si="12"/>
        <v>0</v>
      </c>
    </row>
    <row r="46" spans="1:18">
      <c r="C46" s="412">
        <f t="shared" si="13"/>
        <v>7</v>
      </c>
      <c r="D46" s="429">
        <f t="shared" si="14"/>
        <v>517.65</v>
      </c>
      <c r="E46" s="429">
        <f t="shared" si="15"/>
        <v>2035.8</v>
      </c>
      <c r="F46" s="429">
        <f t="shared" si="16"/>
        <v>2035.8</v>
      </c>
      <c r="G46" s="430">
        <f t="shared" si="11"/>
        <v>0</v>
      </c>
      <c r="H46" s="431"/>
      <c r="I46" s="431"/>
      <c r="J46" s="431"/>
      <c r="L46" s="412">
        <f t="shared" si="17"/>
        <v>7</v>
      </c>
      <c r="M46" s="429">
        <f t="shared" si="18"/>
        <v>543.75</v>
      </c>
      <c r="N46" s="429">
        <f t="shared" si="19"/>
        <v>2035.8</v>
      </c>
      <c r="O46" s="429">
        <f t="shared" si="20"/>
        <v>2035.8</v>
      </c>
      <c r="P46" s="430">
        <f t="shared" si="12"/>
        <v>0</v>
      </c>
    </row>
    <row r="47" spans="1:18">
      <c r="C47" s="412">
        <f t="shared" si="13"/>
        <v>8</v>
      </c>
      <c r="D47" s="429">
        <f t="shared" si="14"/>
        <v>549.9</v>
      </c>
      <c r="E47" s="429">
        <f t="shared" si="15"/>
        <v>2368.8000000000002</v>
      </c>
      <c r="F47" s="429">
        <f t="shared" si="16"/>
        <v>2368.8000000000002</v>
      </c>
      <c r="G47" s="430">
        <f t="shared" si="11"/>
        <v>0</v>
      </c>
      <c r="H47" s="431"/>
      <c r="I47" s="431"/>
      <c r="J47" s="431"/>
      <c r="L47" s="412">
        <f t="shared" si="17"/>
        <v>8</v>
      </c>
      <c r="M47" s="429">
        <f t="shared" si="18"/>
        <v>549.9</v>
      </c>
      <c r="N47" s="429">
        <f t="shared" si="19"/>
        <v>2165.7600000000002</v>
      </c>
      <c r="O47" s="429">
        <f t="shared" si="20"/>
        <v>2148.84</v>
      </c>
      <c r="P47" s="430">
        <f t="shared" si="12"/>
        <v>16.920000000000073</v>
      </c>
    </row>
    <row r="48" spans="1:18">
      <c r="C48" s="412">
        <f t="shared" si="13"/>
        <v>9</v>
      </c>
      <c r="D48" s="429">
        <f t="shared" si="14"/>
        <v>574.69999999999993</v>
      </c>
      <c r="E48" s="429">
        <f t="shared" si="15"/>
        <v>2438.37</v>
      </c>
      <c r="F48" s="429">
        <f t="shared" si="16"/>
        <v>2438.37</v>
      </c>
      <c r="G48" s="430">
        <f t="shared" si="11"/>
        <v>0</v>
      </c>
      <c r="H48" s="431"/>
      <c r="I48" s="431"/>
      <c r="J48" s="431"/>
      <c r="L48" s="412">
        <f t="shared" si="17"/>
        <v>9</v>
      </c>
      <c r="M48" s="429">
        <f t="shared" si="18"/>
        <v>521.33499999999992</v>
      </c>
      <c r="N48" s="429">
        <f t="shared" si="19"/>
        <v>2384.1839999999997</v>
      </c>
      <c r="O48" s="429">
        <f t="shared" si="20"/>
        <v>2167.4399999999996</v>
      </c>
      <c r="P48" s="430">
        <f t="shared" si="12"/>
        <v>216.74400000000014</v>
      </c>
    </row>
    <row r="49" spans="1:18">
      <c r="C49" s="412">
        <f t="shared" si="13"/>
        <v>10</v>
      </c>
      <c r="D49" s="429">
        <f t="shared" si="14"/>
        <v>536.625</v>
      </c>
      <c r="E49" s="429">
        <f t="shared" si="15"/>
        <v>2594.88</v>
      </c>
      <c r="F49" s="429">
        <f t="shared" si="16"/>
        <v>2480.4</v>
      </c>
      <c r="G49" s="430">
        <f t="shared" si="11"/>
        <v>114.48000000000002</v>
      </c>
      <c r="H49" s="431"/>
      <c r="I49" s="431"/>
      <c r="J49" s="431"/>
      <c r="L49" s="412">
        <f t="shared" si="17"/>
        <v>10</v>
      </c>
      <c r="M49" s="429">
        <f t="shared" si="18"/>
        <v>477</v>
      </c>
      <c r="N49" s="429">
        <f t="shared" si="19"/>
        <v>2594.88</v>
      </c>
      <c r="O49" s="429">
        <f t="shared" si="20"/>
        <v>2308.6799999999998</v>
      </c>
      <c r="P49" s="430">
        <f t="shared" si="12"/>
        <v>286.20000000000027</v>
      </c>
    </row>
    <row r="51" spans="1:18">
      <c r="A51" s="432"/>
      <c r="B51" s="432"/>
      <c r="C51" s="432"/>
      <c r="D51" s="432" t="s">
        <v>938</v>
      </c>
      <c r="E51" s="433">
        <f>D7+E7</f>
        <v>4.7500000000000001E-2</v>
      </c>
    </row>
    <row r="54" spans="1:18">
      <c r="C54" s="434" t="s">
        <v>939</v>
      </c>
      <c r="D54" s="434"/>
      <c r="E54" s="435">
        <f>AVERAGE(H40,Q40)</f>
        <v>402.54024685611745</v>
      </c>
    </row>
    <row r="55" spans="1:18">
      <c r="C55" s="434" t="s">
        <v>940</v>
      </c>
      <c r="D55" s="434"/>
      <c r="E55" s="435">
        <f>AVERAGE(I40,R40)</f>
        <v>4147.5031809902448</v>
      </c>
    </row>
    <row r="56" spans="1:18">
      <c r="C56" s="436" t="s">
        <v>941</v>
      </c>
      <c r="D56" s="436"/>
      <c r="E56" s="437">
        <f>MIN(1,E54/E55)</f>
        <v>9.7056042946785201E-2</v>
      </c>
    </row>
    <row r="59" spans="1:18">
      <c r="B59" s="426" t="s">
        <v>942</v>
      </c>
      <c r="K59" s="426" t="s">
        <v>942</v>
      </c>
    </row>
    <row r="60" spans="1:18" ht="26.4">
      <c r="B60" s="412" t="s">
        <v>814</v>
      </c>
      <c r="H60" s="428" t="s">
        <v>943</v>
      </c>
      <c r="I60" s="428" t="s">
        <v>944</v>
      </c>
      <c r="K60" s="412" t="s">
        <v>815</v>
      </c>
      <c r="Q60" s="428" t="s">
        <v>943</v>
      </c>
      <c r="R60" s="428" t="s">
        <v>944</v>
      </c>
    </row>
    <row r="61" spans="1:18" ht="39.6">
      <c r="B61" s="412" t="s">
        <v>374</v>
      </c>
      <c r="C61" s="427"/>
      <c r="D61" s="427" t="s">
        <v>932</v>
      </c>
      <c r="E61" s="427" t="s">
        <v>933</v>
      </c>
      <c r="F61" s="427" t="s">
        <v>934</v>
      </c>
      <c r="G61" s="428" t="s">
        <v>935</v>
      </c>
      <c r="H61" s="428" t="s">
        <v>936</v>
      </c>
      <c r="I61" s="428" t="s">
        <v>936</v>
      </c>
      <c r="K61" s="412" t="s">
        <v>374</v>
      </c>
      <c r="L61" s="427"/>
      <c r="M61" s="427" t="s">
        <v>932</v>
      </c>
      <c r="N61" s="427" t="s">
        <v>933</v>
      </c>
      <c r="O61" s="427" t="s">
        <v>934</v>
      </c>
      <c r="P61" s="428" t="s">
        <v>935</v>
      </c>
      <c r="Q61" s="428" t="s">
        <v>936</v>
      </c>
      <c r="R61" s="428" t="s">
        <v>936</v>
      </c>
    </row>
    <row r="62" spans="1:18">
      <c r="B62" s="412">
        <v>1</v>
      </c>
      <c r="C62" s="429"/>
      <c r="D62" s="429"/>
      <c r="E62" s="429"/>
      <c r="F62" s="438"/>
      <c r="G62" s="430">
        <f t="shared" ref="G62:G71" si="21">MAX(0,E62-F62)</f>
        <v>0</v>
      </c>
      <c r="H62" s="430">
        <f>NPV($E$74,G64:G71)</f>
        <v>678.46742581545061</v>
      </c>
      <c r="I62" s="430">
        <f>NPV($E$75,G64:G71)</f>
        <v>672.62927675516517</v>
      </c>
      <c r="K62" s="412">
        <v>1</v>
      </c>
      <c r="L62" s="431"/>
      <c r="M62" s="431"/>
      <c r="N62" s="431"/>
      <c r="O62" s="431"/>
      <c r="P62" s="430">
        <f t="shared" ref="P62:P71" si="22">MAX(0,N62-O62)</f>
        <v>0</v>
      </c>
      <c r="Q62" s="439">
        <f>NPV($E$74,P64:P71)</f>
        <v>1013.1139103243157</v>
      </c>
      <c r="R62" s="439">
        <f>NPV($E$75,P64:P71)</f>
        <v>1003.766797635779</v>
      </c>
    </row>
    <row r="63" spans="1:18">
      <c r="B63" s="412">
        <f t="shared" ref="B63:B71" si="23">B62+1</f>
        <v>2</v>
      </c>
      <c r="C63" s="429"/>
      <c r="D63" s="429"/>
      <c r="E63" s="429"/>
      <c r="F63" s="429"/>
      <c r="G63" s="430">
        <f t="shared" si="21"/>
        <v>0</v>
      </c>
      <c r="H63" s="428" t="s">
        <v>937</v>
      </c>
      <c r="I63" s="428" t="s">
        <v>937</v>
      </c>
      <c r="K63" s="412">
        <f t="shared" ref="K63:K71" si="24">K62+1</f>
        <v>2</v>
      </c>
      <c r="L63" s="431"/>
      <c r="M63" s="431"/>
      <c r="N63" s="431"/>
      <c r="O63" s="431"/>
      <c r="P63" s="430">
        <f t="shared" si="22"/>
        <v>0</v>
      </c>
      <c r="Q63" s="440" t="s">
        <v>937</v>
      </c>
      <c r="R63" s="440" t="s">
        <v>937</v>
      </c>
    </row>
    <row r="64" spans="1:18">
      <c r="B64" s="412">
        <f t="shared" si="23"/>
        <v>3</v>
      </c>
      <c r="C64" s="429"/>
      <c r="D64" s="429">
        <f t="shared" ref="D64:D71" si="25">L26*G8</f>
        <v>500</v>
      </c>
      <c r="E64" s="429">
        <f t="shared" ref="E64:E71" si="26">F9*G8*MAX(J26,K26)</f>
        <v>1296</v>
      </c>
      <c r="F64" s="429">
        <f t="shared" ref="F64:F71" si="27">J26*G8*F9</f>
        <v>1212</v>
      </c>
      <c r="G64" s="430">
        <f t="shared" si="21"/>
        <v>84</v>
      </c>
      <c r="H64" s="430">
        <f>NPV($E$74,D65:D71)+D64</f>
        <v>3386.8781793014323</v>
      </c>
      <c r="I64" s="430">
        <f>NPV($E$75,D65:D71)+D64</f>
        <v>3360.6452200980075</v>
      </c>
      <c r="K64" s="412">
        <f t="shared" si="24"/>
        <v>3</v>
      </c>
      <c r="L64" s="431"/>
      <c r="M64" s="431">
        <f t="shared" ref="M64:M71" si="28">O26*G8</f>
        <v>500</v>
      </c>
      <c r="N64" s="431">
        <f t="shared" ref="N64:N71" si="29">F9*G8*MAX(M26,N26)</f>
        <v>1296</v>
      </c>
      <c r="O64" s="431">
        <f t="shared" ref="O64:O71" si="30">M26*G8*F9</f>
        <v>1188</v>
      </c>
      <c r="P64" s="430">
        <f t="shared" si="22"/>
        <v>108</v>
      </c>
      <c r="Q64" s="430">
        <f>NPV($E$74,M65:M71)+M64</f>
        <v>3312.1817579607482</v>
      </c>
      <c r="R64" s="430">
        <f>NPV($E$75,M65:M71)+M64</f>
        <v>3286.3878432043848</v>
      </c>
    </row>
    <row r="65" spans="2:16">
      <c r="B65" s="412">
        <f t="shared" si="23"/>
        <v>4</v>
      </c>
      <c r="C65" s="429"/>
      <c r="D65" s="429">
        <f t="shared" si="25"/>
        <v>493.89</v>
      </c>
      <c r="E65" s="429">
        <f t="shared" si="26"/>
        <v>1478.7359999999999</v>
      </c>
      <c r="F65" s="429">
        <f t="shared" si="27"/>
        <v>1386.3150000000001</v>
      </c>
      <c r="G65" s="430">
        <f t="shared" si="21"/>
        <v>92.420999999999822</v>
      </c>
      <c r="K65" s="412">
        <f t="shared" si="24"/>
        <v>4</v>
      </c>
      <c r="L65" s="431"/>
      <c r="M65" s="431">
        <f t="shared" si="28"/>
        <v>484.11</v>
      </c>
      <c r="N65" s="431">
        <f t="shared" si="29"/>
        <v>1478.7359999999999</v>
      </c>
      <c r="O65" s="431">
        <f t="shared" si="30"/>
        <v>1254.2850000000001</v>
      </c>
      <c r="P65" s="430">
        <f t="shared" si="22"/>
        <v>224.45099999999979</v>
      </c>
    </row>
    <row r="66" spans="2:16">
      <c r="B66" s="412">
        <f t="shared" si="23"/>
        <v>5</v>
      </c>
      <c r="C66" s="429"/>
      <c r="D66" s="429">
        <f t="shared" si="25"/>
        <v>501.375</v>
      </c>
      <c r="E66" s="429">
        <f t="shared" si="26"/>
        <v>1661.6999999999998</v>
      </c>
      <c r="F66" s="429">
        <f t="shared" si="27"/>
        <v>1432.5</v>
      </c>
      <c r="G66" s="430">
        <f t="shared" si="21"/>
        <v>229.19999999999982</v>
      </c>
      <c r="K66" s="412">
        <f t="shared" si="24"/>
        <v>5</v>
      </c>
      <c r="L66" s="431"/>
      <c r="M66" s="431">
        <f t="shared" si="28"/>
        <v>453.625</v>
      </c>
      <c r="N66" s="431">
        <f t="shared" si="29"/>
        <v>1661.6999999999998</v>
      </c>
      <c r="O66" s="431">
        <f t="shared" si="30"/>
        <v>1461.1499999999999</v>
      </c>
      <c r="P66" s="430">
        <f t="shared" si="22"/>
        <v>200.54999999999995</v>
      </c>
    </row>
    <row r="67" spans="2:16">
      <c r="B67" s="412">
        <f t="shared" si="23"/>
        <v>6</v>
      </c>
      <c r="C67" s="429"/>
      <c r="D67" s="429">
        <f t="shared" si="25"/>
        <v>465.5</v>
      </c>
      <c r="E67" s="429">
        <f t="shared" si="26"/>
        <v>1843.3800000000003</v>
      </c>
      <c r="F67" s="429">
        <f t="shared" si="27"/>
        <v>1689.7650000000001</v>
      </c>
      <c r="G67" s="430">
        <f t="shared" si="21"/>
        <v>153.61500000000024</v>
      </c>
      <c r="K67" s="412">
        <f t="shared" si="24"/>
        <v>6</v>
      </c>
      <c r="L67" s="431"/>
      <c r="M67" s="431">
        <f t="shared" si="28"/>
        <v>474.81</v>
      </c>
      <c r="N67" s="431">
        <f t="shared" si="29"/>
        <v>1843.3800000000003</v>
      </c>
      <c r="O67" s="431">
        <f t="shared" si="30"/>
        <v>1612.9575</v>
      </c>
      <c r="P67" s="430">
        <f t="shared" si="22"/>
        <v>230.42250000000035</v>
      </c>
    </row>
    <row r="68" spans="2:16">
      <c r="B68" s="412">
        <f t="shared" si="23"/>
        <v>7</v>
      </c>
      <c r="C68" s="429"/>
      <c r="D68" s="429">
        <f t="shared" si="25"/>
        <v>498.3</v>
      </c>
      <c r="E68" s="429">
        <f t="shared" si="26"/>
        <v>2022.192</v>
      </c>
      <c r="F68" s="429">
        <f t="shared" si="27"/>
        <v>1956.9599999999998</v>
      </c>
      <c r="G68" s="430">
        <f t="shared" si="21"/>
        <v>65.232000000000198</v>
      </c>
      <c r="K68" s="412">
        <f t="shared" si="24"/>
        <v>7</v>
      </c>
      <c r="L68" s="431"/>
      <c r="M68" s="431">
        <f t="shared" si="28"/>
        <v>475.65000000000003</v>
      </c>
      <c r="N68" s="431">
        <f t="shared" si="29"/>
        <v>2022.192</v>
      </c>
      <c r="O68" s="431">
        <f t="shared" si="30"/>
        <v>1810.1879999999999</v>
      </c>
      <c r="P68" s="430">
        <f t="shared" si="22"/>
        <v>212.00400000000013</v>
      </c>
    </row>
    <row r="69" spans="2:16">
      <c r="B69" s="412">
        <f t="shared" si="23"/>
        <v>8</v>
      </c>
      <c r="C69" s="429"/>
      <c r="D69" s="429">
        <f t="shared" si="25"/>
        <v>528.6</v>
      </c>
      <c r="E69" s="429">
        <f t="shared" si="26"/>
        <v>2255.36</v>
      </c>
      <c r="F69" s="429">
        <f t="shared" si="27"/>
        <v>2096.7800000000002</v>
      </c>
      <c r="G69" s="430">
        <f t="shared" si="21"/>
        <v>158.57999999999993</v>
      </c>
      <c r="K69" s="412">
        <f t="shared" si="24"/>
        <v>8</v>
      </c>
      <c r="L69" s="431"/>
      <c r="M69" s="431">
        <f t="shared" si="28"/>
        <v>488.95499999999998</v>
      </c>
      <c r="N69" s="431">
        <f t="shared" si="29"/>
        <v>2255.36</v>
      </c>
      <c r="O69" s="431">
        <f t="shared" si="30"/>
        <v>2202.5</v>
      </c>
      <c r="P69" s="430">
        <f t="shared" si="22"/>
        <v>52.860000000000127</v>
      </c>
    </row>
    <row r="70" spans="2:16">
      <c r="B70" s="412">
        <f t="shared" si="23"/>
        <v>9</v>
      </c>
      <c r="C70" s="429"/>
      <c r="D70" s="429">
        <f t="shared" si="25"/>
        <v>508.72499999999997</v>
      </c>
      <c r="E70" s="429">
        <f t="shared" si="26"/>
        <v>2482.9199999999996</v>
      </c>
      <c r="F70" s="429">
        <f t="shared" si="27"/>
        <v>2445.2999999999997</v>
      </c>
      <c r="G70" s="430">
        <f t="shared" si="21"/>
        <v>37.619999999999891</v>
      </c>
      <c r="K70" s="412">
        <f t="shared" si="24"/>
        <v>9</v>
      </c>
      <c r="L70" s="431"/>
      <c r="M70" s="431">
        <f t="shared" si="28"/>
        <v>534.375</v>
      </c>
      <c r="N70" s="431">
        <f t="shared" si="29"/>
        <v>2482.9199999999996</v>
      </c>
      <c r="O70" s="431">
        <f t="shared" si="30"/>
        <v>2445.2999999999997</v>
      </c>
      <c r="P70" s="430">
        <f t="shared" si="22"/>
        <v>37.619999999999891</v>
      </c>
    </row>
    <row r="71" spans="2:16">
      <c r="B71" s="412">
        <f t="shared" si="23"/>
        <v>10</v>
      </c>
      <c r="C71" s="429"/>
      <c r="D71" s="429">
        <f t="shared" si="25"/>
        <v>538.19999999999993</v>
      </c>
      <c r="E71" s="429">
        <f t="shared" si="26"/>
        <v>2782.08</v>
      </c>
      <c r="F71" s="429">
        <f t="shared" si="27"/>
        <v>2782.08</v>
      </c>
      <c r="G71" s="430">
        <f t="shared" si="21"/>
        <v>0</v>
      </c>
      <c r="K71" s="412">
        <f t="shared" si="24"/>
        <v>10</v>
      </c>
      <c r="L71" s="431"/>
      <c r="M71" s="431">
        <f t="shared" si="28"/>
        <v>538.19999999999993</v>
      </c>
      <c r="N71" s="431">
        <f t="shared" si="29"/>
        <v>2702.5920000000001</v>
      </c>
      <c r="O71" s="431">
        <f t="shared" si="30"/>
        <v>2523.7440000000001</v>
      </c>
      <c r="P71" s="430">
        <f t="shared" si="22"/>
        <v>178.84799999999996</v>
      </c>
    </row>
    <row r="74" spans="2:16">
      <c r="C74" s="434"/>
      <c r="D74" s="434" t="s">
        <v>945</v>
      </c>
      <c r="E74" s="433">
        <f>H9+E9</f>
        <v>5.2499999999999998E-2</v>
      </c>
    </row>
    <row r="75" spans="2:16">
      <c r="C75" s="434"/>
      <c r="D75" s="434" t="s">
        <v>946</v>
      </c>
      <c r="E75" s="433">
        <f>H9+I9</f>
        <v>5.5E-2</v>
      </c>
    </row>
    <row r="77" spans="2:16" ht="26.4">
      <c r="C77" s="434"/>
      <c r="D77" s="434"/>
      <c r="E77" s="428" t="s">
        <v>947</v>
      </c>
      <c r="F77" s="428" t="s">
        <v>948</v>
      </c>
    </row>
    <row r="78" spans="2:16">
      <c r="C78" s="434" t="s">
        <v>939</v>
      </c>
      <c r="D78" s="434"/>
      <c r="E78" s="441">
        <f>AVERAGE(H62,Q62)</f>
        <v>845.79066806988317</v>
      </c>
      <c r="F78" s="441">
        <f>AVERAGE(I62,R62)</f>
        <v>838.19803719547212</v>
      </c>
    </row>
    <row r="79" spans="2:16">
      <c r="C79" s="434" t="s">
        <v>940</v>
      </c>
      <c r="D79" s="434"/>
      <c r="E79" s="441">
        <f>AVERAGE(H64,Q64)</f>
        <v>3349.52996863109</v>
      </c>
      <c r="F79" s="441">
        <f>AVERAGE(I64,R64)</f>
        <v>3323.5165316511961</v>
      </c>
    </row>
    <row r="80" spans="2:16">
      <c r="C80" s="442" t="s">
        <v>949</v>
      </c>
      <c r="D80" s="434"/>
      <c r="E80" s="434"/>
      <c r="F80" s="434"/>
    </row>
    <row r="81" spans="2:6">
      <c r="C81" s="434" t="s">
        <v>947</v>
      </c>
      <c r="D81" s="434"/>
      <c r="E81" s="443">
        <f>E78-E56*E79</f>
        <v>520.69854358288001</v>
      </c>
      <c r="F81" s="434"/>
    </row>
    <row r="82" spans="2:6">
      <c r="B82" s="444" t="s">
        <v>950</v>
      </c>
      <c r="C82" s="436" t="s">
        <v>948</v>
      </c>
      <c r="D82" s="436"/>
      <c r="E82" s="445">
        <f>F78-E56*F79</f>
        <v>515.63067396518295</v>
      </c>
      <c r="F82" s="434"/>
    </row>
    <row r="84" spans="2:6">
      <c r="B84" s="444" t="s">
        <v>951</v>
      </c>
      <c r="C84" s="436" t="s">
        <v>952</v>
      </c>
      <c r="D84" s="436"/>
      <c r="E84" s="446">
        <f>E82-E81</f>
        <v>-5.0678696176970561</v>
      </c>
    </row>
  </sheetData>
  <mergeCells count="9">
    <mergeCell ref="B22:D22"/>
    <mergeCell ref="E22:G22"/>
    <mergeCell ref="J22:L22"/>
    <mergeCell ref="M22:O22"/>
    <mergeCell ref="B4:I4"/>
    <mergeCell ref="B5:E5"/>
    <mergeCell ref="F5:I5"/>
    <mergeCell ref="B21:G21"/>
    <mergeCell ref="J21:O21"/>
  </mergeCells>
  <pageMargins left="0.70000000000000007" right="0.70000000000000007" top="0.75" bottom="0.75" header="0.30000000000000004" footer="0.30000000000000004"/>
  <pageSetup paperSize="0" fitToWidth="0" fitToHeight="0" orientation="portrait" horizontalDpi="0" verticalDpi="0" copies="0"/>
  <headerFooter>
    <oddFooter>&amp;C_x000D_&amp;1#&amp;"Calibri"&amp;10&amp;K000000 CONFIDENTIAL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C2FB8-FAE4-4B39-94E7-0CD713168D29}">
  <dimension ref="A1:G42"/>
  <sheetViews>
    <sheetView workbookViewId="0">
      <selection activeCell="I15" sqref="I15"/>
    </sheetView>
  </sheetViews>
  <sheetFormatPr defaultColWidth="9.21875" defaultRowHeight="14.4"/>
  <cols>
    <col min="1" max="1" width="18.21875" style="67" customWidth="1"/>
    <col min="2" max="2" width="10.77734375" style="67" customWidth="1"/>
    <col min="3" max="3" width="12" style="67" customWidth="1"/>
    <col min="4" max="4" width="10.21875" style="67" customWidth="1"/>
    <col min="5" max="5" width="12" style="67" customWidth="1"/>
    <col min="6" max="6" width="11.77734375" style="67" customWidth="1"/>
    <col min="7" max="7" width="9.44140625" style="67" customWidth="1"/>
    <col min="8" max="8" width="12.44140625" style="67" customWidth="1"/>
    <col min="9" max="16384" width="9.21875" style="67"/>
  </cols>
  <sheetData>
    <row r="1" spans="1:7" s="66" customFormat="1" ht="17.399999999999999">
      <c r="A1" s="65" t="s">
        <v>822</v>
      </c>
    </row>
    <row r="2" spans="1:7" s="66" customFormat="1" ht="15.6">
      <c r="A2" s="68" t="s">
        <v>190</v>
      </c>
    </row>
    <row r="3" spans="1:7" s="66" customFormat="1" ht="15.6">
      <c r="A3" s="68" t="s">
        <v>823</v>
      </c>
    </row>
    <row r="4" spans="1:7" s="66" customFormat="1"/>
    <row r="5" spans="1:7" s="66" customFormat="1" ht="15.6">
      <c r="A5" s="71" t="s">
        <v>824</v>
      </c>
    </row>
    <row r="6" spans="1:7" s="66" customFormat="1" ht="15.6">
      <c r="A6" s="242"/>
    </row>
    <row r="7" spans="1:7" s="66" customFormat="1" ht="16.2" thickBot="1">
      <c r="A7" s="242" t="s">
        <v>825</v>
      </c>
    </row>
    <row r="8" spans="1:7" s="66" customFormat="1" ht="16.2" thickBot="1">
      <c r="A8" s="1074" t="s">
        <v>826</v>
      </c>
      <c r="B8" s="1076" t="s">
        <v>78</v>
      </c>
      <c r="C8" s="1077"/>
      <c r="D8" s="1077"/>
      <c r="E8" s="1077"/>
      <c r="F8" s="1078"/>
    </row>
    <row r="9" spans="1:7" s="66" customFormat="1" ht="16.2" thickBot="1">
      <c r="A9" s="1075"/>
      <c r="B9" s="391">
        <v>1</v>
      </c>
      <c r="C9" s="245">
        <v>2</v>
      </c>
      <c r="D9" s="245">
        <v>3</v>
      </c>
      <c r="E9" s="245">
        <v>4</v>
      </c>
      <c r="F9" s="245">
        <v>5</v>
      </c>
    </row>
    <row r="10" spans="1:7" s="66" customFormat="1" ht="16.2" thickBot="1">
      <c r="A10" s="392">
        <v>1</v>
      </c>
      <c r="B10" s="387">
        <v>2500</v>
      </c>
      <c r="C10" s="387">
        <v>2250</v>
      </c>
      <c r="D10" s="381" t="s">
        <v>827</v>
      </c>
      <c r="E10" s="381" t="s">
        <v>827</v>
      </c>
      <c r="F10" s="381" t="s">
        <v>827</v>
      </c>
    </row>
    <row r="11" spans="1:7" s="66" customFormat="1" ht="16.2" thickBot="1">
      <c r="A11" s="392">
        <v>2</v>
      </c>
      <c r="B11" s="381"/>
      <c r="C11" s="387">
        <v>6063</v>
      </c>
      <c r="D11" s="387">
        <v>5456</v>
      </c>
      <c r="E11" s="381" t="s">
        <v>827</v>
      </c>
      <c r="F11" s="381" t="s">
        <v>827</v>
      </c>
    </row>
    <row r="12" spans="1:7" s="66" customFormat="1" ht="16.2" thickBot="1">
      <c r="A12" s="390" t="s">
        <v>378</v>
      </c>
      <c r="B12" s="393">
        <v>2500</v>
      </c>
      <c r="C12" s="393">
        <v>8313</v>
      </c>
      <c r="D12" s="393">
        <v>5456</v>
      </c>
      <c r="E12" s="391" t="s">
        <v>827</v>
      </c>
      <c r="F12" s="391" t="s">
        <v>827</v>
      </c>
    </row>
    <row r="13" spans="1:7" s="66" customFormat="1" ht="15.6">
      <c r="A13" s="70"/>
    </row>
    <row r="14" spans="1:7" s="66" customFormat="1" ht="16.2" thickBot="1">
      <c r="A14" s="1079" t="s">
        <v>828</v>
      </c>
      <c r="B14" s="1080"/>
    </row>
    <row r="15" spans="1:7" s="66" customFormat="1" ht="16.2" thickBot="1">
      <c r="A15" s="394" t="s">
        <v>829</v>
      </c>
      <c r="B15" s="245" t="s">
        <v>830</v>
      </c>
      <c r="C15" s="245">
        <v>1</v>
      </c>
      <c r="D15" s="245">
        <v>2</v>
      </c>
      <c r="E15" s="245">
        <v>3</v>
      </c>
      <c r="F15" s="245">
        <v>4</v>
      </c>
      <c r="G15" s="245">
        <v>5</v>
      </c>
    </row>
    <row r="16" spans="1:7" s="66" customFormat="1" ht="16.2" thickBot="1">
      <c r="A16" s="193" t="s">
        <v>831</v>
      </c>
      <c r="B16" s="381" t="s">
        <v>832</v>
      </c>
      <c r="C16" s="384">
        <v>0.05</v>
      </c>
      <c r="D16" s="384">
        <v>5.5E-2</v>
      </c>
      <c r="E16" s="384">
        <v>5.2499999999999998E-2</v>
      </c>
      <c r="F16" s="384">
        <v>4.4999999999999998E-2</v>
      </c>
      <c r="G16" s="384">
        <v>0.04</v>
      </c>
    </row>
    <row r="17" spans="1:7" s="66" customFormat="1" ht="16.2" thickBot="1">
      <c r="A17" s="193" t="s">
        <v>833</v>
      </c>
      <c r="B17" s="381" t="s">
        <v>832</v>
      </c>
      <c r="C17" s="384">
        <v>5.2499999999999998E-2</v>
      </c>
      <c r="D17" s="384">
        <v>5.2499999999999998E-2</v>
      </c>
      <c r="E17" s="384">
        <v>0.05</v>
      </c>
      <c r="F17" s="384">
        <v>4.7500000000000001E-2</v>
      </c>
      <c r="G17" s="384">
        <v>4.4999999999999998E-2</v>
      </c>
    </row>
    <row r="18" spans="1:7" s="66" customFormat="1" ht="16.2" thickBot="1">
      <c r="A18" s="193" t="s">
        <v>834</v>
      </c>
      <c r="B18" s="381" t="s">
        <v>832</v>
      </c>
      <c r="C18" s="384">
        <v>5.5E-2</v>
      </c>
      <c r="D18" s="384">
        <v>0.06</v>
      </c>
      <c r="E18" s="384">
        <v>5.5E-2</v>
      </c>
      <c r="F18" s="384">
        <v>0.05</v>
      </c>
      <c r="G18" s="384">
        <v>4.7500000000000001E-2</v>
      </c>
    </row>
    <row r="19" spans="1:7" s="66" customFormat="1" ht="16.2" thickBot="1">
      <c r="A19" s="193" t="s">
        <v>831</v>
      </c>
      <c r="B19" s="381" t="s">
        <v>835</v>
      </c>
      <c r="C19" s="384">
        <v>0.05</v>
      </c>
      <c r="D19" s="384">
        <v>0.06</v>
      </c>
      <c r="E19" s="384">
        <v>4.7500000000000001E-2</v>
      </c>
      <c r="F19" s="384">
        <v>2.2499999999999999E-2</v>
      </c>
      <c r="G19" s="384">
        <v>0.02</v>
      </c>
    </row>
    <row r="20" spans="1:7" s="66" customFormat="1" ht="16.2" thickBot="1">
      <c r="A20" s="193" t="s">
        <v>833</v>
      </c>
      <c r="B20" s="381" t="s">
        <v>835</v>
      </c>
      <c r="C20" s="384">
        <v>5.2499999999999998E-2</v>
      </c>
      <c r="D20" s="384">
        <v>5.2499999999999998E-2</v>
      </c>
      <c r="E20" s="384">
        <v>4.4999999999999998E-2</v>
      </c>
      <c r="F20" s="384">
        <v>0.04</v>
      </c>
      <c r="G20" s="384">
        <v>3.5000000000000003E-2</v>
      </c>
    </row>
    <row r="21" spans="1:7" s="66" customFormat="1" ht="16.2" thickBot="1">
      <c r="A21" s="193" t="s">
        <v>834</v>
      </c>
      <c r="B21" s="381" t="s">
        <v>835</v>
      </c>
      <c r="C21" s="384">
        <v>5.5E-2</v>
      </c>
      <c r="D21" s="384">
        <v>6.5000000000000002E-2</v>
      </c>
      <c r="E21" s="384">
        <v>4.4999999999999998E-2</v>
      </c>
      <c r="F21" s="384">
        <v>3.5000000000000003E-2</v>
      </c>
      <c r="G21" s="384">
        <v>3.7499999999999999E-2</v>
      </c>
    </row>
    <row r="22" spans="1:7" s="66" customFormat="1" ht="15.6">
      <c r="A22" s="70"/>
    </row>
    <row r="23" spans="1:7" s="66" customFormat="1" ht="15.6">
      <c r="A23" s="395" t="s">
        <v>836</v>
      </c>
    </row>
    <row r="24" spans="1:7" ht="15.6">
      <c r="A24" s="120" t="s">
        <v>24</v>
      </c>
    </row>
    <row r="25" spans="1:7" ht="15.6">
      <c r="A25" s="120"/>
    </row>
    <row r="26" spans="1:7" ht="15.6">
      <c r="A26" s="120"/>
    </row>
    <row r="27" spans="1:7" ht="15.6">
      <c r="A27" s="120"/>
    </row>
    <row r="28" spans="1:7" ht="15.6">
      <c r="A28" s="120"/>
    </row>
    <row r="29" spans="1:7" ht="15.6">
      <c r="A29" s="120"/>
    </row>
    <row r="30" spans="1:7" ht="15.6">
      <c r="A30" s="120"/>
    </row>
    <row r="31" spans="1:7" ht="15.6">
      <c r="A31" s="120"/>
    </row>
    <row r="32" spans="1:7" ht="15.6">
      <c r="A32" s="120"/>
    </row>
    <row r="33" spans="1:1" ht="15.6">
      <c r="A33" s="120"/>
    </row>
    <row r="34" spans="1:1" ht="15.6">
      <c r="A34" s="120"/>
    </row>
    <row r="35" spans="1:1" ht="15.6">
      <c r="A35" s="120"/>
    </row>
    <row r="36" spans="1:1" ht="15.6">
      <c r="A36" s="120"/>
    </row>
    <row r="37" spans="1:1" ht="15.6">
      <c r="A37" s="120"/>
    </row>
    <row r="38" spans="1:1" ht="15.6">
      <c r="A38" s="120"/>
    </row>
    <row r="39" spans="1:1" ht="15.6">
      <c r="A39" s="120"/>
    </row>
    <row r="40" spans="1:1" ht="15.6">
      <c r="A40" s="389"/>
    </row>
    <row r="41" spans="1:1" s="66" customFormat="1" ht="15.6">
      <c r="A41" s="395" t="s">
        <v>837</v>
      </c>
    </row>
    <row r="42" spans="1:1" ht="15.6">
      <c r="A42" s="120" t="s">
        <v>24</v>
      </c>
    </row>
  </sheetData>
  <mergeCells count="3">
    <mergeCell ref="A8:A9"/>
    <mergeCell ref="B8:F8"/>
    <mergeCell ref="A14:B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B8F96-3D69-4547-AA0D-C5D021BC7F81}">
  <sheetPr codeName="Sheet1">
    <tabColor theme="4" tint="-0.499984740745262"/>
  </sheetPr>
  <dimension ref="A1:B8"/>
  <sheetViews>
    <sheetView workbookViewId="0">
      <selection activeCell="O8" sqref="O8"/>
    </sheetView>
  </sheetViews>
  <sheetFormatPr defaultRowHeight="13.2"/>
  <sheetData>
    <row r="1" spans="1:2">
      <c r="A1" s="1" t="s">
        <v>5</v>
      </c>
    </row>
    <row r="2" spans="1:2">
      <c r="A2" s="1"/>
    </row>
    <row r="3" spans="1:2">
      <c r="A3" s="2" t="s">
        <v>4</v>
      </c>
    </row>
    <row r="6" spans="1:2">
      <c r="A6" s="1" t="s">
        <v>1877</v>
      </c>
    </row>
    <row r="7" spans="1:2">
      <c r="A7" s="379"/>
      <c r="B7" s="2" t="s">
        <v>1876</v>
      </c>
    </row>
    <row r="8" spans="1:2">
      <c r="A8" s="1045"/>
      <c r="B8" t="s">
        <v>1875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E48ED-F39B-459A-A922-F2E77FCE8483}">
  <sheetPr>
    <tabColor rgb="FFFF0000"/>
  </sheetPr>
  <dimension ref="A1:J28"/>
  <sheetViews>
    <sheetView workbookViewId="0">
      <selection sqref="A1:XFD1048576"/>
    </sheetView>
  </sheetViews>
  <sheetFormatPr defaultColWidth="9.21875" defaultRowHeight="14.4"/>
  <cols>
    <col min="1" max="1" width="24" style="274" customWidth="1"/>
    <col min="2" max="2" width="11.21875" style="274" customWidth="1"/>
    <col min="3" max="3" width="9.77734375" style="274" customWidth="1"/>
    <col min="4" max="4" width="9.5546875" style="274" customWidth="1"/>
    <col min="5" max="5" width="10.77734375" style="274" customWidth="1"/>
    <col min="6" max="6" width="9.44140625" style="274" customWidth="1"/>
    <col min="7" max="7" width="10.5546875" style="274" customWidth="1"/>
    <col min="8" max="8" width="9.21875" style="274"/>
    <col min="9" max="9" width="15.5546875" style="274" customWidth="1"/>
    <col min="10" max="16384" width="9.21875" style="274"/>
  </cols>
  <sheetData>
    <row r="1" spans="1:10" s="265" customFormat="1" ht="17.399999999999999">
      <c r="A1" s="264" t="s">
        <v>838</v>
      </c>
    </row>
    <row r="2" spans="1:10" s="265" customFormat="1" ht="15.6">
      <c r="A2" s="266" t="s">
        <v>467</v>
      </c>
    </row>
    <row r="3" spans="1:10" s="265" customFormat="1" ht="15.6">
      <c r="A3" s="266" t="s">
        <v>426</v>
      </c>
    </row>
    <row r="4" spans="1:10" s="265" customFormat="1"/>
    <row r="5" spans="1:10" s="265" customFormat="1" ht="15.6">
      <c r="A5" s="268" t="s">
        <v>839</v>
      </c>
      <c r="B5" s="268"/>
    </row>
    <row r="6" spans="1:10" s="265" customFormat="1" ht="15.6">
      <c r="A6" s="268"/>
    </row>
    <row r="7" spans="1:10" s="265" customFormat="1" ht="15.6">
      <c r="A7" s="315" t="s">
        <v>840</v>
      </c>
    </row>
    <row r="8" spans="1:10" s="265" customFormat="1" ht="16.2" thickBot="1">
      <c r="A8" s="268"/>
    </row>
    <row r="9" spans="1:10" s="265" customFormat="1" ht="15" thickBot="1">
      <c r="A9" s="462"/>
      <c r="B9" s="463"/>
      <c r="C9" s="1081" t="s">
        <v>841</v>
      </c>
      <c r="D9" s="1082"/>
      <c r="E9" s="1082"/>
      <c r="F9" s="1082"/>
      <c r="G9" s="1083"/>
    </row>
    <row r="10" spans="1:10" s="265" customFormat="1" ht="42" thickBot="1">
      <c r="A10" s="464" t="s">
        <v>842</v>
      </c>
      <c r="B10" s="465" t="s">
        <v>843</v>
      </c>
      <c r="C10" s="465" t="s">
        <v>844</v>
      </c>
      <c r="D10" s="465" t="s">
        <v>845</v>
      </c>
      <c r="E10" s="465" t="s">
        <v>846</v>
      </c>
      <c r="F10" s="465" t="s">
        <v>847</v>
      </c>
      <c r="G10" s="465" t="s">
        <v>848</v>
      </c>
    </row>
    <row r="11" spans="1:10" s="265" customFormat="1" ht="35.549999999999997" customHeight="1" thickBot="1">
      <c r="A11" s="464" t="s">
        <v>849</v>
      </c>
      <c r="B11" s="466">
        <v>1.4999999999999999E-2</v>
      </c>
      <c r="C11" s="466">
        <v>0.01</v>
      </c>
      <c r="D11" s="466">
        <v>5.0000000000000001E-3</v>
      </c>
      <c r="E11" s="466">
        <v>0</v>
      </c>
      <c r="F11" s="466">
        <v>0</v>
      </c>
      <c r="G11" s="466">
        <v>0</v>
      </c>
    </row>
    <row r="12" spans="1:10" s="265" customFormat="1" ht="15" thickBot="1">
      <c r="A12" s="464" t="s">
        <v>850</v>
      </c>
      <c r="B12" s="466">
        <v>2.5000000000000001E-2</v>
      </c>
      <c r="C12" s="466">
        <v>3.0000000000000001E-3</v>
      </c>
      <c r="D12" s="466">
        <v>7.0000000000000001E-3</v>
      </c>
      <c r="E12" s="466">
        <v>5.0000000000000001E-3</v>
      </c>
      <c r="F12" s="466">
        <v>8.0000000000000002E-3</v>
      </c>
      <c r="G12" s="466">
        <v>2E-3</v>
      </c>
    </row>
    <row r="13" spans="1:10" s="265" customFormat="1" ht="15" thickBot="1">
      <c r="A13" s="464" t="s">
        <v>851</v>
      </c>
      <c r="B13" s="466">
        <v>3.5000000000000003E-2</v>
      </c>
      <c r="C13" s="466">
        <v>1.7999999999999999E-2</v>
      </c>
      <c r="D13" s="466">
        <v>3.0000000000000001E-3</v>
      </c>
      <c r="E13" s="466">
        <v>0.01</v>
      </c>
      <c r="F13" s="466">
        <v>0</v>
      </c>
      <c r="G13" s="466">
        <v>4.0000000000000001E-3</v>
      </c>
    </row>
    <row r="14" spans="1:10" s="265" customFormat="1" ht="16.2" thickBot="1">
      <c r="A14" s="315"/>
    </row>
    <row r="15" spans="1:10" s="265" customFormat="1" ht="12.6" customHeight="1">
      <c r="A15" s="1084" t="s">
        <v>852</v>
      </c>
      <c r="B15" s="1085"/>
      <c r="C15" s="1085"/>
      <c r="D15" s="1085"/>
      <c r="E15" s="1085"/>
      <c r="F15" s="1085"/>
      <c r="G15" s="1085"/>
      <c r="H15" s="1085"/>
      <c r="I15" s="1086"/>
      <c r="J15" s="467"/>
    </row>
    <row r="16" spans="1:10" s="265" customFormat="1" ht="15" customHeight="1" thickBot="1">
      <c r="A16" s="1087"/>
      <c r="B16" s="1088"/>
      <c r="C16" s="1088"/>
      <c r="D16" s="1088"/>
      <c r="E16" s="1088"/>
      <c r="F16" s="1088"/>
      <c r="G16" s="1088"/>
      <c r="H16" s="1088"/>
      <c r="I16" s="1089"/>
      <c r="J16" s="467"/>
    </row>
    <row r="17" spans="1:10" s="265" customFormat="1" ht="15" thickBot="1">
      <c r="A17" s="464"/>
      <c r="B17" s="465"/>
      <c r="C17" s="465"/>
      <c r="D17" s="465"/>
      <c r="E17" s="1081" t="s">
        <v>853</v>
      </c>
      <c r="F17" s="1082"/>
      <c r="G17" s="1082"/>
      <c r="H17" s="1082"/>
      <c r="I17" s="1083"/>
      <c r="J17" s="468"/>
    </row>
    <row r="18" spans="1:10" s="265" customFormat="1" ht="83.4" thickBot="1">
      <c r="A18" s="464" t="s">
        <v>842</v>
      </c>
      <c r="B18" s="465" t="s">
        <v>843</v>
      </c>
      <c r="C18" s="465" t="s">
        <v>849</v>
      </c>
      <c r="D18" s="465" t="s">
        <v>854</v>
      </c>
      <c r="E18" s="465" t="s">
        <v>844</v>
      </c>
      <c r="F18" s="465" t="s">
        <v>845</v>
      </c>
      <c r="G18" s="465" t="s">
        <v>846</v>
      </c>
      <c r="H18" s="465" t="s">
        <v>847</v>
      </c>
      <c r="I18" s="465" t="s">
        <v>848</v>
      </c>
      <c r="J18" s="468"/>
    </row>
    <row r="19" spans="1:10" s="265" customFormat="1" ht="15" thickBot="1">
      <c r="A19" s="464" t="s">
        <v>850</v>
      </c>
      <c r="B19" s="465"/>
      <c r="C19" s="465"/>
      <c r="D19" s="465"/>
      <c r="E19" s="465"/>
      <c r="F19" s="465"/>
      <c r="G19" s="465"/>
      <c r="H19" s="465"/>
      <c r="I19" s="465"/>
      <c r="J19" s="468"/>
    </row>
    <row r="20" spans="1:10" s="265" customFormat="1" ht="15" thickBot="1">
      <c r="A20" s="464" t="s">
        <v>851</v>
      </c>
      <c r="B20" s="465"/>
      <c r="C20" s="465"/>
      <c r="D20" s="465"/>
      <c r="E20" s="465"/>
      <c r="F20" s="465"/>
      <c r="G20" s="465"/>
      <c r="H20" s="465"/>
      <c r="I20" s="465"/>
      <c r="J20" s="468"/>
    </row>
    <row r="22" spans="1:10" ht="16.2" thickBot="1">
      <c r="A22" s="346" t="s">
        <v>24</v>
      </c>
    </row>
    <row r="23" spans="1:10">
      <c r="A23" s="1090" t="s">
        <v>852</v>
      </c>
      <c r="B23" s="1091"/>
      <c r="C23" s="1091"/>
      <c r="D23" s="1091"/>
      <c r="E23" s="1091"/>
      <c r="F23" s="1091"/>
      <c r="G23" s="1091"/>
      <c r="H23" s="1091"/>
      <c r="I23" s="1092"/>
    </row>
    <row r="24" spans="1:10" ht="15" thickBot="1">
      <c r="A24" s="1093"/>
      <c r="B24" s="1094"/>
      <c r="C24" s="1094"/>
      <c r="D24" s="1094"/>
      <c r="E24" s="1094"/>
      <c r="F24" s="1094"/>
      <c r="G24" s="1094"/>
      <c r="H24" s="1094"/>
      <c r="I24" s="1095"/>
    </row>
    <row r="25" spans="1:10" ht="15" thickBot="1">
      <c r="A25" s="469"/>
      <c r="B25" s="470"/>
      <c r="C25" s="470"/>
      <c r="D25" s="470"/>
      <c r="E25" s="1096" t="s">
        <v>853</v>
      </c>
      <c r="F25" s="1097"/>
      <c r="G25" s="1097"/>
      <c r="H25" s="1097"/>
      <c r="I25" s="1098"/>
    </row>
    <row r="26" spans="1:10" ht="83.4" thickBot="1">
      <c r="A26" s="469" t="s">
        <v>842</v>
      </c>
      <c r="B26" s="470" t="s">
        <v>843</v>
      </c>
      <c r="C26" s="470" t="s">
        <v>849</v>
      </c>
      <c r="D26" s="470" t="s">
        <v>854</v>
      </c>
      <c r="E26" s="470" t="s">
        <v>844</v>
      </c>
      <c r="F26" s="470" t="s">
        <v>845</v>
      </c>
      <c r="G26" s="470" t="s">
        <v>846</v>
      </c>
      <c r="H26" s="470" t="s">
        <v>847</v>
      </c>
      <c r="I26" s="470" t="s">
        <v>848</v>
      </c>
    </row>
    <row r="27" spans="1:10" ht="15" thickBot="1">
      <c r="A27" s="469" t="s">
        <v>850</v>
      </c>
      <c r="B27" s="470"/>
      <c r="C27" s="470"/>
      <c r="D27" s="470"/>
      <c r="E27" s="470"/>
      <c r="F27" s="470"/>
      <c r="G27" s="470"/>
      <c r="H27" s="470"/>
      <c r="I27" s="470"/>
    </row>
    <row r="28" spans="1:10" ht="15" thickBot="1">
      <c r="A28" s="469" t="s">
        <v>851</v>
      </c>
      <c r="B28" s="470"/>
      <c r="C28" s="470"/>
      <c r="D28" s="470"/>
      <c r="E28" s="470"/>
      <c r="F28" s="470"/>
      <c r="G28" s="470"/>
      <c r="H28" s="470"/>
      <c r="I28" s="470"/>
    </row>
  </sheetData>
  <mergeCells count="5">
    <mergeCell ref="C9:G9"/>
    <mergeCell ref="A15:I16"/>
    <mergeCell ref="E17:I17"/>
    <mergeCell ref="A23:I24"/>
    <mergeCell ref="E25:I2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D3B28-60E7-4287-8BA9-D6FE243D5E37}">
  <dimension ref="A1:L10"/>
  <sheetViews>
    <sheetView workbookViewId="0">
      <selection activeCell="I15" sqref="I15"/>
    </sheetView>
  </sheetViews>
  <sheetFormatPr defaultColWidth="9.21875" defaultRowHeight="14.4"/>
  <cols>
    <col min="1" max="1" width="25.77734375" style="67" customWidth="1"/>
    <col min="2" max="4" width="8.77734375" style="67" customWidth="1"/>
    <col min="5" max="16384" width="9.21875" style="67"/>
  </cols>
  <sheetData>
    <row r="1" spans="1:12" s="66" customFormat="1" ht="17.399999999999999">
      <c r="A1" s="65" t="s">
        <v>176</v>
      </c>
    </row>
    <row r="2" spans="1:12" s="66" customFormat="1" ht="15.6">
      <c r="A2" s="68" t="s">
        <v>855</v>
      </c>
    </row>
    <row r="3" spans="1:12" s="66" customFormat="1" ht="15.6">
      <c r="A3" s="68" t="s">
        <v>576</v>
      </c>
    </row>
    <row r="4" spans="1:12" s="66" customFormat="1"/>
    <row r="5" spans="1:12" s="66" customFormat="1" ht="15.6">
      <c r="A5" s="71" t="s">
        <v>856</v>
      </c>
    </row>
    <row r="6" spans="1:12" s="66" customFormat="1" ht="16.2" thickBot="1">
      <c r="A6" s="71"/>
    </row>
    <row r="7" spans="1:12" s="66" customFormat="1" ht="15" thickBot="1">
      <c r="A7" s="396" t="s">
        <v>570</v>
      </c>
      <c r="B7" s="397">
        <v>0</v>
      </c>
      <c r="C7" s="398">
        <v>1</v>
      </c>
      <c r="D7" s="398">
        <v>2</v>
      </c>
      <c r="E7" s="398">
        <v>3</v>
      </c>
      <c r="F7" s="398">
        <v>4</v>
      </c>
      <c r="G7" s="398">
        <v>5</v>
      </c>
      <c r="H7" s="398">
        <v>6</v>
      </c>
      <c r="I7" s="398">
        <v>7</v>
      </c>
      <c r="J7" s="398">
        <v>8</v>
      </c>
      <c r="K7" s="398">
        <v>9</v>
      </c>
      <c r="L7" s="398">
        <v>10</v>
      </c>
    </row>
    <row r="8" spans="1:12" s="66" customFormat="1" ht="15" thickBot="1">
      <c r="A8" s="399" t="s">
        <v>857</v>
      </c>
      <c r="B8" s="400">
        <v>20</v>
      </c>
      <c r="C8" s="401">
        <v>11</v>
      </c>
      <c r="D8" s="401">
        <v>2</v>
      </c>
      <c r="E8" s="401">
        <v>-7</v>
      </c>
      <c r="F8" s="401">
        <v>-3</v>
      </c>
      <c r="G8" s="401">
        <v>1</v>
      </c>
      <c r="H8" s="401">
        <v>5</v>
      </c>
      <c r="I8" s="401">
        <v>9</v>
      </c>
      <c r="J8" s="401">
        <v>13</v>
      </c>
      <c r="K8" s="401">
        <v>17</v>
      </c>
      <c r="L8" s="401">
        <v>21</v>
      </c>
    </row>
    <row r="9" spans="1:12" s="66" customFormat="1" ht="15" thickBot="1">
      <c r="A9" s="399" t="s">
        <v>858</v>
      </c>
      <c r="B9" s="400"/>
      <c r="C9" s="401">
        <v>1.34</v>
      </c>
      <c r="D9" s="401">
        <v>0.65</v>
      </c>
      <c r="E9" s="401">
        <v>0.14000000000000001</v>
      </c>
      <c r="F9" s="401">
        <v>1.03</v>
      </c>
      <c r="G9" s="401">
        <v>1.08</v>
      </c>
      <c r="H9" s="401">
        <v>0.74</v>
      </c>
      <c r="I9" s="401">
        <v>0.59</v>
      </c>
      <c r="J9" s="401">
        <v>1.05</v>
      </c>
      <c r="K9" s="401">
        <v>0.56999999999999995</v>
      </c>
      <c r="L9" s="401">
        <v>0.48</v>
      </c>
    </row>
    <row r="10" spans="1:12" ht="15.6">
      <c r="A10" s="120" t="s">
        <v>24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DF5D0-393E-4E7C-9CFC-FE6F85010720}">
  <sheetPr>
    <tabColor theme="5" tint="0.79998168889431442"/>
    <pageSetUpPr fitToPage="1"/>
  </sheetPr>
  <dimension ref="A1:N25"/>
  <sheetViews>
    <sheetView workbookViewId="0">
      <selection activeCell="B2" sqref="B2"/>
    </sheetView>
  </sheetViews>
  <sheetFormatPr defaultColWidth="8.77734375" defaultRowHeight="14.4"/>
  <cols>
    <col min="1" max="1" width="46.77734375" style="448" customWidth="1"/>
    <col min="2" max="3" width="9.5546875" style="448" bestFit="1" customWidth="1"/>
    <col min="4" max="9" width="8.77734375" style="448" bestFit="1" customWidth="1"/>
    <col min="10" max="12" width="9.5546875" style="448" bestFit="1" customWidth="1"/>
    <col min="13" max="16384" width="8.77734375" style="448"/>
  </cols>
  <sheetData>
    <row r="1" spans="1:14">
      <c r="A1" s="447"/>
      <c r="B1" s="447"/>
      <c r="C1" s="447"/>
      <c r="D1" s="447"/>
      <c r="E1" s="447"/>
      <c r="F1" s="447"/>
      <c r="G1" s="447"/>
      <c r="H1" s="447"/>
      <c r="I1" s="447"/>
      <c r="J1" s="447"/>
      <c r="K1" s="447"/>
      <c r="L1" s="447"/>
    </row>
    <row r="2" spans="1:14">
      <c r="A2" s="449" t="s">
        <v>570</v>
      </c>
      <c r="B2" s="450">
        <v>0</v>
      </c>
      <c r="C2" s="450">
        <v>1</v>
      </c>
      <c r="D2" s="450">
        <v>2</v>
      </c>
      <c r="E2" s="450">
        <v>3</v>
      </c>
      <c r="F2" s="450">
        <v>4</v>
      </c>
      <c r="G2" s="450">
        <v>5</v>
      </c>
      <c r="H2" s="450">
        <v>6</v>
      </c>
      <c r="I2" s="450">
        <v>7</v>
      </c>
      <c r="J2" s="450">
        <v>8</v>
      </c>
      <c r="K2" s="450">
        <v>9</v>
      </c>
      <c r="L2" s="450">
        <v>10</v>
      </c>
    </row>
    <row r="3" spans="1:14">
      <c r="A3" s="449" t="s">
        <v>470</v>
      </c>
      <c r="B3" s="451">
        <v>20000</v>
      </c>
      <c r="C3" s="451">
        <v>11000</v>
      </c>
      <c r="D3" s="451">
        <v>2000</v>
      </c>
      <c r="E3" s="451">
        <v>-7000</v>
      </c>
      <c r="F3" s="451">
        <v>-3000</v>
      </c>
      <c r="G3" s="451">
        <v>1000</v>
      </c>
      <c r="H3" s="451">
        <v>5000</v>
      </c>
      <c r="I3" s="451">
        <v>9000</v>
      </c>
      <c r="J3" s="451">
        <v>13000</v>
      </c>
      <c r="K3" s="451">
        <v>17000</v>
      </c>
      <c r="L3" s="451">
        <v>21000</v>
      </c>
    </row>
    <row r="4" spans="1:14">
      <c r="A4" s="449" t="s">
        <v>953</v>
      </c>
      <c r="B4" s="450"/>
      <c r="C4" s="452">
        <v>1.34E-2</v>
      </c>
      <c r="D4" s="452">
        <v>6.4999999999999997E-3</v>
      </c>
      <c r="E4" s="452">
        <v>1.4E-3</v>
      </c>
      <c r="F4" s="452">
        <v>1.03E-2</v>
      </c>
      <c r="G4" s="452">
        <v>1.0800000000000001E-2</v>
      </c>
      <c r="H4" s="452">
        <v>7.4000000000000003E-3</v>
      </c>
      <c r="I4" s="452">
        <v>5.8999999999999999E-3</v>
      </c>
      <c r="J4" s="452">
        <v>1.0500000000000001E-2</v>
      </c>
      <c r="K4" s="452">
        <v>5.7000000000000002E-3</v>
      </c>
      <c r="L4" s="452">
        <v>4.7999999999999996E-3</v>
      </c>
    </row>
    <row r="5" spans="1:14">
      <c r="A5" s="447"/>
      <c r="B5" s="447"/>
      <c r="C5" s="447"/>
      <c r="D5" s="447"/>
      <c r="E5" s="447"/>
      <c r="F5" s="447"/>
      <c r="G5" s="447"/>
      <c r="H5" s="447"/>
      <c r="I5" s="447"/>
      <c r="J5" s="447"/>
      <c r="K5" s="447"/>
      <c r="L5" s="447"/>
    </row>
    <row r="6" spans="1:14">
      <c r="A6" s="447"/>
      <c r="B6" s="447"/>
      <c r="C6" s="447"/>
      <c r="D6" s="447"/>
      <c r="E6" s="447"/>
      <c r="F6" s="447"/>
      <c r="G6" s="447"/>
      <c r="H6" s="447"/>
      <c r="I6" s="447"/>
      <c r="J6" s="447"/>
      <c r="K6" s="447"/>
      <c r="L6" s="447"/>
    </row>
    <row r="7" spans="1:14">
      <c r="A7" s="447" t="s">
        <v>570</v>
      </c>
      <c r="B7" s="447">
        <v>0</v>
      </c>
      <c r="C7" s="447">
        <v>1</v>
      </c>
      <c r="D7" s="447">
        <v>2</v>
      </c>
      <c r="E7" s="447">
        <v>3</v>
      </c>
      <c r="F7" s="447">
        <v>4</v>
      </c>
      <c r="G7" s="447">
        <v>5</v>
      </c>
      <c r="H7" s="447">
        <v>6</v>
      </c>
      <c r="I7" s="447">
        <v>7</v>
      </c>
      <c r="J7" s="447">
        <v>8</v>
      </c>
      <c r="K7" s="447">
        <v>9</v>
      </c>
      <c r="L7" s="447">
        <v>10</v>
      </c>
      <c r="M7" s="453"/>
      <c r="N7" s="453"/>
    </row>
    <row r="8" spans="1:14">
      <c r="A8" s="447" t="s">
        <v>954</v>
      </c>
      <c r="B8" s="454">
        <v>20000</v>
      </c>
      <c r="C8" s="454">
        <v>11000</v>
      </c>
      <c r="D8" s="454">
        <v>2000</v>
      </c>
      <c r="E8" s="454">
        <v>-7000</v>
      </c>
      <c r="F8" s="454">
        <v>-3000</v>
      </c>
      <c r="G8" s="454">
        <v>1000</v>
      </c>
      <c r="H8" s="454">
        <v>5000</v>
      </c>
      <c r="I8" s="454">
        <v>9000</v>
      </c>
      <c r="J8" s="454">
        <v>13000</v>
      </c>
      <c r="K8" s="454">
        <v>17000</v>
      </c>
      <c r="L8" s="454">
        <v>21000</v>
      </c>
    </row>
    <row r="9" spans="1:14">
      <c r="A9" s="447" t="s">
        <v>955</v>
      </c>
      <c r="B9" s="454">
        <f t="shared" ref="B9:L9" si="0">B8*-1</f>
        <v>-20000</v>
      </c>
      <c r="C9" s="454">
        <f t="shared" si="0"/>
        <v>-11000</v>
      </c>
      <c r="D9" s="454">
        <f t="shared" si="0"/>
        <v>-2000</v>
      </c>
      <c r="E9" s="454">
        <f t="shared" si="0"/>
        <v>7000</v>
      </c>
      <c r="F9" s="454">
        <f t="shared" si="0"/>
        <v>3000</v>
      </c>
      <c r="G9" s="454">
        <f t="shared" si="0"/>
        <v>-1000</v>
      </c>
      <c r="H9" s="454">
        <f t="shared" si="0"/>
        <v>-5000</v>
      </c>
      <c r="I9" s="454">
        <f t="shared" si="0"/>
        <v>-9000</v>
      </c>
      <c r="J9" s="454">
        <f t="shared" si="0"/>
        <v>-13000</v>
      </c>
      <c r="K9" s="454">
        <f t="shared" si="0"/>
        <v>-17000</v>
      </c>
      <c r="L9" s="454">
        <f t="shared" si="0"/>
        <v>-21000</v>
      </c>
    </row>
    <row r="10" spans="1:14">
      <c r="A10" s="447" t="s">
        <v>956</v>
      </c>
      <c r="B10" s="447"/>
      <c r="C10" s="455">
        <f t="shared" ref="C10:L10" si="1">C4</f>
        <v>1.34E-2</v>
      </c>
      <c r="D10" s="455">
        <f t="shared" si="1"/>
        <v>6.4999999999999997E-3</v>
      </c>
      <c r="E10" s="455">
        <f t="shared" si="1"/>
        <v>1.4E-3</v>
      </c>
      <c r="F10" s="455">
        <f t="shared" si="1"/>
        <v>1.03E-2</v>
      </c>
      <c r="G10" s="455">
        <f t="shared" si="1"/>
        <v>1.0800000000000001E-2</v>
      </c>
      <c r="H10" s="455">
        <f t="shared" si="1"/>
        <v>7.4000000000000003E-3</v>
      </c>
      <c r="I10" s="455">
        <f t="shared" si="1"/>
        <v>5.8999999999999999E-3</v>
      </c>
      <c r="J10" s="455">
        <f t="shared" si="1"/>
        <v>1.0500000000000001E-2</v>
      </c>
      <c r="K10" s="455">
        <f t="shared" si="1"/>
        <v>5.7000000000000002E-3</v>
      </c>
      <c r="L10" s="455">
        <f t="shared" si="1"/>
        <v>4.7999999999999996E-3</v>
      </c>
    </row>
    <row r="11" spans="1:14">
      <c r="A11" s="447" t="s">
        <v>957</v>
      </c>
      <c r="B11" s="447">
        <v>1.05</v>
      </c>
      <c r="C11" s="456">
        <f t="shared" ref="C11:L11" si="2">$B$11*C10</f>
        <v>1.4070000000000001E-2</v>
      </c>
      <c r="D11" s="456">
        <f t="shared" si="2"/>
        <v>6.8250000000000003E-3</v>
      </c>
      <c r="E11" s="456">
        <f t="shared" si="2"/>
        <v>1.47E-3</v>
      </c>
      <c r="F11" s="456">
        <f t="shared" si="2"/>
        <v>1.0815E-2</v>
      </c>
      <c r="G11" s="456">
        <f t="shared" si="2"/>
        <v>1.1340000000000001E-2</v>
      </c>
      <c r="H11" s="456">
        <f t="shared" si="2"/>
        <v>7.7700000000000009E-3</v>
      </c>
      <c r="I11" s="456">
        <f t="shared" si="2"/>
        <v>6.195E-3</v>
      </c>
      <c r="J11" s="456">
        <f t="shared" si="2"/>
        <v>1.1025000000000002E-2</v>
      </c>
      <c r="K11" s="456">
        <f t="shared" si="2"/>
        <v>5.9850000000000007E-3</v>
      </c>
      <c r="L11" s="456">
        <f t="shared" si="2"/>
        <v>5.0399999999999993E-3</v>
      </c>
    </row>
    <row r="12" spans="1:14">
      <c r="A12" s="457" t="s">
        <v>958</v>
      </c>
      <c r="B12" s="447">
        <v>1</v>
      </c>
      <c r="C12" s="447">
        <f t="shared" ref="C12:L12" si="3">1/(1+C11)</f>
        <v>0.98612521818020449</v>
      </c>
      <c r="D12" s="447">
        <f t="shared" si="3"/>
        <v>0.99322126486728068</v>
      </c>
      <c r="E12" s="447">
        <f t="shared" si="3"/>
        <v>0.99853215772813952</v>
      </c>
      <c r="F12" s="447">
        <f t="shared" si="3"/>
        <v>0.98930071279116349</v>
      </c>
      <c r="G12" s="447">
        <f t="shared" si="3"/>
        <v>0.98878715367729952</v>
      </c>
      <c r="H12" s="447">
        <f t="shared" si="3"/>
        <v>0.99228990741935164</v>
      </c>
      <c r="I12" s="447">
        <f t="shared" si="3"/>
        <v>0.99384314173693966</v>
      </c>
      <c r="J12" s="447">
        <f t="shared" si="3"/>
        <v>0.98909522514280057</v>
      </c>
      <c r="K12" s="447">
        <f t="shared" si="3"/>
        <v>0.99405060711640836</v>
      </c>
      <c r="L12" s="447">
        <f t="shared" si="3"/>
        <v>0.9949852742179417</v>
      </c>
    </row>
    <row r="13" spans="1:14">
      <c r="A13" s="458" t="s">
        <v>959</v>
      </c>
      <c r="B13" s="447"/>
      <c r="C13" s="447">
        <f>C12*B12</f>
        <v>0.98612521818020449</v>
      </c>
      <c r="D13" s="447">
        <f t="shared" ref="D13:L13" si="4">D12*C13</f>
        <v>0.97944053651846585</v>
      </c>
      <c r="E13" s="447">
        <f t="shared" si="4"/>
        <v>0.97800287229619032</v>
      </c>
      <c r="F13" s="447">
        <f t="shared" si="4"/>
        <v>0.96753893867442631</v>
      </c>
      <c r="G13" s="447">
        <f t="shared" si="4"/>
        <v>0.95669007324384125</v>
      </c>
      <c r="H13" s="447">
        <f t="shared" si="4"/>
        <v>0.94931390420814399</v>
      </c>
      <c r="I13" s="447">
        <f t="shared" si="4"/>
        <v>0.94346911305278203</v>
      </c>
      <c r="J13" s="447">
        <f t="shared" si="4"/>
        <v>0.93318079479021976</v>
      </c>
      <c r="K13" s="447">
        <f t="shared" si="4"/>
        <v>0.92762893561059045</v>
      </c>
      <c r="L13" s="447">
        <f t="shared" si="4"/>
        <v>0.92297713087100075</v>
      </c>
    </row>
    <row r="14" spans="1:14" ht="27">
      <c r="A14" s="458" t="s">
        <v>960</v>
      </c>
      <c r="B14" s="454"/>
      <c r="C14" s="454">
        <f t="shared" ref="C14:L14" si="5">C13*C9</f>
        <v>-10847.37739998225</v>
      </c>
      <c r="D14" s="454">
        <f t="shared" si="5"/>
        <v>-1958.8810730369316</v>
      </c>
      <c r="E14" s="454">
        <f t="shared" si="5"/>
        <v>6846.0201060733325</v>
      </c>
      <c r="F14" s="454">
        <f t="shared" si="5"/>
        <v>2902.6168160232787</v>
      </c>
      <c r="G14" s="454">
        <f t="shared" si="5"/>
        <v>-956.6900732438412</v>
      </c>
      <c r="H14" s="454">
        <f t="shared" si="5"/>
        <v>-4746.5695210407202</v>
      </c>
      <c r="I14" s="454">
        <f t="shared" si="5"/>
        <v>-8491.2220174750382</v>
      </c>
      <c r="J14" s="454">
        <f t="shared" si="5"/>
        <v>-12131.350332272857</v>
      </c>
      <c r="K14" s="454">
        <f t="shared" si="5"/>
        <v>-15769.691905380037</v>
      </c>
      <c r="L14" s="454">
        <f t="shared" si="5"/>
        <v>-19382.519748291015</v>
      </c>
    </row>
    <row r="15" spans="1:14">
      <c r="A15" s="447" t="s">
        <v>961</v>
      </c>
      <c r="B15" s="454">
        <f>MAX(C14:L14)</f>
        <v>6846.0201060733325</v>
      </c>
      <c r="C15" s="454"/>
      <c r="D15" s="454"/>
      <c r="E15" s="454"/>
      <c r="F15" s="454"/>
      <c r="G15" s="454"/>
      <c r="H15" s="454"/>
      <c r="I15" s="454"/>
      <c r="J15" s="454"/>
      <c r="K15" s="454"/>
      <c r="L15" s="454"/>
    </row>
    <row r="16" spans="1:14">
      <c r="A16" s="447" t="s">
        <v>962</v>
      </c>
      <c r="B16" s="454">
        <f>B15+B8</f>
        <v>26846.020106073331</v>
      </c>
      <c r="C16" s="454"/>
      <c r="D16" s="454"/>
      <c r="E16" s="454"/>
      <c r="F16" s="454"/>
      <c r="G16" s="454"/>
      <c r="H16" s="454"/>
      <c r="I16" s="454"/>
      <c r="J16" s="454"/>
      <c r="K16" s="454"/>
      <c r="L16" s="454"/>
    </row>
    <row r="17" spans="1:13">
      <c r="A17" s="447"/>
      <c r="B17" s="447"/>
      <c r="C17" s="447"/>
      <c r="D17" s="447"/>
      <c r="E17" s="447"/>
      <c r="F17" s="447"/>
      <c r="G17" s="447"/>
      <c r="H17" s="447"/>
      <c r="I17" s="447"/>
      <c r="J17" s="447"/>
      <c r="K17" s="447"/>
      <c r="L17" s="447"/>
      <c r="M17" s="459"/>
    </row>
    <row r="18" spans="1:13">
      <c r="A18" s="447"/>
      <c r="B18" s="447"/>
      <c r="C18" s="455"/>
      <c r="D18" s="455"/>
      <c r="E18" s="455"/>
      <c r="F18" s="455"/>
      <c r="G18" s="455"/>
      <c r="H18" s="455"/>
      <c r="I18" s="455"/>
      <c r="J18" s="455"/>
      <c r="K18" s="455"/>
      <c r="L18" s="455"/>
    </row>
    <row r="19" spans="1:13">
      <c r="A19" s="447"/>
      <c r="B19" s="447"/>
      <c r="C19" s="447"/>
      <c r="D19" s="447"/>
      <c r="E19" s="447"/>
      <c r="F19" s="447"/>
      <c r="G19" s="447"/>
      <c r="H19" s="447"/>
      <c r="I19" s="447"/>
      <c r="J19" s="447"/>
      <c r="K19" s="447"/>
      <c r="L19" s="447"/>
    </row>
    <row r="20" spans="1:13">
      <c r="A20" s="447"/>
      <c r="B20" s="447"/>
      <c r="C20" s="447"/>
      <c r="D20" s="447"/>
      <c r="E20" s="447"/>
      <c r="F20" s="447"/>
      <c r="G20" s="447"/>
      <c r="H20" s="447"/>
      <c r="I20" s="447"/>
      <c r="J20" s="447"/>
      <c r="K20" s="447"/>
      <c r="L20" s="447"/>
    </row>
    <row r="21" spans="1:13">
      <c r="A21" s="447"/>
      <c r="B21" s="447"/>
      <c r="C21" s="447"/>
      <c r="D21" s="447"/>
      <c r="E21" s="447"/>
      <c r="F21" s="447"/>
      <c r="G21" s="447"/>
      <c r="H21" s="447"/>
      <c r="I21" s="447"/>
      <c r="J21" s="447"/>
      <c r="K21" s="447"/>
      <c r="L21" s="447"/>
    </row>
    <row r="22" spans="1:13">
      <c r="A22" s="447"/>
      <c r="B22" s="447"/>
      <c r="C22" s="447"/>
      <c r="D22" s="447"/>
      <c r="E22" s="447"/>
      <c r="F22" s="447"/>
      <c r="G22" s="447"/>
      <c r="H22" s="447"/>
      <c r="I22" s="447"/>
      <c r="J22" s="447"/>
      <c r="K22" s="447"/>
      <c r="L22" s="447"/>
    </row>
    <row r="23" spans="1:13">
      <c r="A23" s="447"/>
      <c r="B23" s="447"/>
      <c r="C23" s="447"/>
      <c r="D23" s="447"/>
      <c r="E23" s="447"/>
      <c r="F23" s="447"/>
      <c r="G23" s="447"/>
      <c r="H23" s="447"/>
      <c r="I23" s="447"/>
      <c r="J23" s="447"/>
      <c r="K23" s="447"/>
      <c r="L23" s="447"/>
    </row>
    <row r="24" spans="1:13">
      <c r="A24" s="447"/>
      <c r="B24" s="447"/>
      <c r="C24" s="447"/>
      <c r="D24" s="447"/>
      <c r="E24" s="447"/>
      <c r="F24" s="447"/>
      <c r="G24" s="447"/>
      <c r="H24" s="447"/>
      <c r="I24" s="447"/>
      <c r="J24" s="447"/>
      <c r="K24" s="447"/>
      <c r="L24" s="447"/>
    </row>
    <row r="25" spans="1:13">
      <c r="A25" s="447"/>
      <c r="B25" s="447"/>
      <c r="C25" s="447"/>
      <c r="D25" s="447"/>
      <c r="E25" s="447"/>
      <c r="F25" s="447"/>
      <c r="G25" s="447"/>
      <c r="H25" s="447"/>
      <c r="I25" s="447"/>
      <c r="J25" s="447"/>
      <c r="K25" s="447"/>
      <c r="L25" s="447"/>
    </row>
  </sheetData>
  <pageMargins left="0" right="0" top="0.75" bottom="0.75" header="0.3" footer="0.3"/>
  <pageSetup scale="92" orientation="landscape" verticalDpi="0" r:id="rId1"/>
  <headerFooter>
    <oddFooter>&amp;C_x000D_&amp;1#&amp;"Calibri"&amp;10&amp;K000000 CONFIDENTIAL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04D8-D892-4DA3-A19A-F562241EFA0D}">
  <sheetPr>
    <tabColor rgb="FFFF0000"/>
  </sheetPr>
  <dimension ref="A1:E43"/>
  <sheetViews>
    <sheetView workbookViewId="0">
      <selection sqref="A1:XFD1048576"/>
    </sheetView>
  </sheetViews>
  <sheetFormatPr defaultColWidth="9.21875" defaultRowHeight="14.4"/>
  <cols>
    <col min="1" max="1" width="30.44140625" style="274" customWidth="1"/>
    <col min="2" max="2" width="10" style="274" customWidth="1"/>
    <col min="3" max="3" width="11.21875" style="274" customWidth="1"/>
    <col min="4" max="4" width="12" style="274" customWidth="1"/>
    <col min="5" max="5" width="11.44140625" style="274" customWidth="1"/>
    <col min="6" max="16384" width="9.21875" style="274"/>
  </cols>
  <sheetData>
    <row r="1" spans="1:5" s="265" customFormat="1" ht="17.399999999999999">
      <c r="A1" s="264" t="s">
        <v>859</v>
      </c>
    </row>
    <row r="2" spans="1:5" s="265" customFormat="1" ht="15.6">
      <c r="A2" s="266" t="s">
        <v>860</v>
      </c>
    </row>
    <row r="3" spans="1:5" s="265" customFormat="1" ht="15.6">
      <c r="A3" s="266" t="s">
        <v>861</v>
      </c>
    </row>
    <row r="4" spans="1:5" s="265" customFormat="1"/>
    <row r="5" spans="1:5" s="265" customFormat="1" ht="15.6">
      <c r="A5" s="273" t="s">
        <v>963</v>
      </c>
    </row>
    <row r="6" spans="1:5" s="265" customFormat="1" ht="15.6">
      <c r="A6" s="315" t="s">
        <v>862</v>
      </c>
    </row>
    <row r="7" spans="1:5" s="265" customFormat="1" ht="16.2" thickBot="1">
      <c r="A7" s="315"/>
    </row>
    <row r="8" spans="1:5" s="265" customFormat="1" ht="60.6" customHeight="1" thickBot="1">
      <c r="A8" s="269" t="s">
        <v>497</v>
      </c>
      <c r="B8" s="460" t="s">
        <v>863</v>
      </c>
      <c r="C8" s="460" t="s">
        <v>864</v>
      </c>
      <c r="D8" s="460" t="s">
        <v>865</v>
      </c>
      <c r="E8" s="460" t="s">
        <v>866</v>
      </c>
    </row>
    <row r="9" spans="1:5" s="265" customFormat="1" ht="16.2" thickBot="1">
      <c r="A9" s="271" t="s">
        <v>867</v>
      </c>
      <c r="B9" s="461">
        <v>10</v>
      </c>
      <c r="C9" s="461">
        <v>5</v>
      </c>
      <c r="D9" s="461">
        <v>0.5</v>
      </c>
      <c r="E9" s="461">
        <v>0</v>
      </c>
    </row>
    <row r="10" spans="1:5" s="265" customFormat="1" ht="16.2" thickBot="1">
      <c r="A10" s="271" t="s">
        <v>868</v>
      </c>
      <c r="B10" s="461">
        <v>12</v>
      </c>
      <c r="C10" s="461">
        <v>13</v>
      </c>
      <c r="D10" s="461">
        <v>1</v>
      </c>
      <c r="E10" s="461">
        <v>0</v>
      </c>
    </row>
    <row r="11" spans="1:5" s="265" customFormat="1" ht="15.6">
      <c r="A11" s="268"/>
    </row>
    <row r="12" spans="1:5" s="265" customFormat="1" ht="15.6">
      <c r="A12" s="273" t="s">
        <v>964</v>
      </c>
    </row>
    <row r="13" spans="1:5" ht="15.6">
      <c r="A13" s="346" t="s">
        <v>24</v>
      </c>
    </row>
    <row r="14" spans="1:5" ht="15.6">
      <c r="A14" s="346"/>
    </row>
    <row r="15" spans="1:5" ht="15.6">
      <c r="A15" s="346"/>
    </row>
    <row r="16" spans="1:5" ht="15.6">
      <c r="A16" s="346"/>
    </row>
    <row r="17" spans="1:1" ht="15.6">
      <c r="A17" s="346"/>
    </row>
    <row r="18" spans="1:1" ht="15.6">
      <c r="A18" s="346"/>
    </row>
    <row r="19" spans="1:1" ht="15.6">
      <c r="A19" s="346"/>
    </row>
    <row r="20" spans="1:1" ht="15.6">
      <c r="A20" s="346"/>
    </row>
    <row r="21" spans="1:1" ht="15.6">
      <c r="A21" s="346"/>
    </row>
    <row r="22" spans="1:1" ht="15.6">
      <c r="A22" s="346"/>
    </row>
    <row r="23" spans="1:1" ht="15.6">
      <c r="A23" s="346"/>
    </row>
    <row r="24" spans="1:1" ht="15.6">
      <c r="A24" s="346"/>
    </row>
    <row r="25" spans="1:1" ht="15.6">
      <c r="A25" s="346"/>
    </row>
    <row r="26" spans="1:1" ht="15.6">
      <c r="A26" s="346"/>
    </row>
    <row r="27" spans="1:1" ht="15.6">
      <c r="A27" s="348"/>
    </row>
    <row r="28" spans="1:1" s="265" customFormat="1" ht="15.6">
      <c r="A28" s="273" t="s">
        <v>965</v>
      </c>
    </row>
    <row r="29" spans="1:1" ht="15.6">
      <c r="A29" s="346" t="s">
        <v>24</v>
      </c>
    </row>
    <row r="30" spans="1:1" ht="15.6">
      <c r="A30" s="348"/>
    </row>
    <row r="31" spans="1:1" ht="15.6">
      <c r="A31" s="348"/>
    </row>
    <row r="32" spans="1:1" ht="15.6">
      <c r="A32" s="348"/>
    </row>
    <row r="33" spans="1:1" ht="15.6">
      <c r="A33" s="348"/>
    </row>
    <row r="34" spans="1:1" ht="15.6">
      <c r="A34" s="348"/>
    </row>
    <row r="35" spans="1:1" ht="15.6">
      <c r="A35" s="348"/>
    </row>
    <row r="36" spans="1:1" ht="15.6">
      <c r="A36" s="348"/>
    </row>
    <row r="37" spans="1:1" ht="15.6">
      <c r="A37" s="348"/>
    </row>
    <row r="38" spans="1:1" ht="15.6">
      <c r="A38" s="348"/>
    </row>
    <row r="39" spans="1:1" ht="15.6">
      <c r="A39" s="348"/>
    </row>
    <row r="40" spans="1:1" ht="15.6">
      <c r="A40" s="348"/>
    </row>
    <row r="41" spans="1:1" ht="15.6">
      <c r="A41" s="348"/>
    </row>
    <row r="42" spans="1:1" s="265" customFormat="1" ht="15.6">
      <c r="A42" s="273" t="s">
        <v>966</v>
      </c>
    </row>
    <row r="43" spans="1:1" ht="15.6">
      <c r="A43" s="346" t="s">
        <v>24</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0D3AB-D17E-4D19-A7D5-81D8F5CC22D7}">
  <dimension ref="A1:D123"/>
  <sheetViews>
    <sheetView topLeftCell="A34" workbookViewId="0">
      <selection activeCell="A31" sqref="A31"/>
    </sheetView>
  </sheetViews>
  <sheetFormatPr defaultColWidth="9.21875" defaultRowHeight="14.4"/>
  <cols>
    <col min="1" max="1" width="32.44140625" style="67" customWidth="1"/>
    <col min="2" max="2" width="17.5546875" style="67" customWidth="1"/>
    <col min="3" max="3" width="11.21875" style="67" customWidth="1"/>
    <col min="4" max="4" width="10.77734375" style="67" customWidth="1"/>
    <col min="5" max="16384" width="9.21875" style="67"/>
  </cols>
  <sheetData>
    <row r="1" spans="1:2" s="66" customFormat="1" ht="17.399999999999999">
      <c r="A1" s="65" t="s">
        <v>869</v>
      </c>
    </row>
    <row r="2" spans="1:2" s="66" customFormat="1" ht="15.6">
      <c r="A2" s="68" t="s">
        <v>870</v>
      </c>
    </row>
    <row r="3" spans="1:2" s="66" customFormat="1" ht="15.6">
      <c r="A3" s="68" t="s">
        <v>871</v>
      </c>
    </row>
    <row r="4" spans="1:2" s="66" customFormat="1"/>
    <row r="5" spans="1:2" s="66" customFormat="1" ht="15.6">
      <c r="A5" s="230" t="s">
        <v>872</v>
      </c>
    </row>
    <row r="6" spans="1:2" s="66" customFormat="1" ht="16.2" thickBot="1">
      <c r="A6" s="402"/>
    </row>
    <row r="7" spans="1:2" s="66" customFormat="1" ht="16.2" thickBot="1">
      <c r="A7" s="403" t="s">
        <v>229</v>
      </c>
      <c r="B7" s="404">
        <v>42470</v>
      </c>
    </row>
    <row r="8" spans="1:2" s="66" customFormat="1" ht="29.55" customHeight="1" thickBot="1">
      <c r="A8" s="405" t="s">
        <v>873</v>
      </c>
      <c r="B8" s="156">
        <v>5000</v>
      </c>
    </row>
    <row r="9" spans="1:2" s="66" customFormat="1" ht="21" customHeight="1" thickBot="1">
      <c r="A9" s="405" t="s">
        <v>874</v>
      </c>
      <c r="B9" s="156">
        <v>1000</v>
      </c>
    </row>
    <row r="10" spans="1:2" s="66" customFormat="1" ht="21" customHeight="1" thickBot="1">
      <c r="A10" s="405" t="s">
        <v>875</v>
      </c>
      <c r="B10" s="156">
        <v>1000</v>
      </c>
    </row>
    <row r="11" spans="1:2" s="66" customFormat="1" ht="21" customHeight="1" thickBot="1">
      <c r="A11" s="405" t="s">
        <v>876</v>
      </c>
      <c r="B11" s="406">
        <v>100</v>
      </c>
    </row>
    <row r="12" spans="1:2" s="66" customFormat="1" ht="21" customHeight="1" thickBot="1">
      <c r="A12" s="405" t="s">
        <v>588</v>
      </c>
      <c r="B12" s="156">
        <v>3500</v>
      </c>
    </row>
    <row r="13" spans="1:2" s="66" customFormat="1" ht="46.05" customHeight="1" thickBot="1">
      <c r="A13" s="405" t="s">
        <v>877</v>
      </c>
      <c r="B13" s="406" t="s">
        <v>878</v>
      </c>
    </row>
    <row r="14" spans="1:2" s="66" customFormat="1" ht="21" customHeight="1" thickBot="1">
      <c r="A14" s="405" t="s">
        <v>879</v>
      </c>
      <c r="B14" s="406" t="s">
        <v>880</v>
      </c>
    </row>
    <row r="15" spans="1:2" s="66" customFormat="1" ht="15.6">
      <c r="A15" s="402"/>
    </row>
    <row r="16" spans="1:2" s="66" customFormat="1" ht="15.6">
      <c r="A16" s="402" t="s">
        <v>881</v>
      </c>
    </row>
    <row r="17" spans="1:2" ht="15.6">
      <c r="A17" s="120" t="s">
        <v>24</v>
      </c>
    </row>
    <row r="26" spans="1:2">
      <c r="A26" s="471" t="s">
        <v>967</v>
      </c>
    </row>
    <row r="27" spans="1:2" s="265" customFormat="1" ht="15.6">
      <c r="A27" s="273" t="s">
        <v>968</v>
      </c>
    </row>
    <row r="28" spans="1:2" s="265" customFormat="1" ht="15.6">
      <c r="A28" s="472"/>
    </row>
    <row r="29" spans="1:2" s="265" customFormat="1" ht="15.6">
      <c r="A29" s="473" t="s">
        <v>882</v>
      </c>
    </row>
    <row r="30" spans="1:2" s="265" customFormat="1" ht="16.2" thickBot="1">
      <c r="A30" s="473"/>
    </row>
    <row r="31" spans="1:2" s="265" customFormat="1" ht="16.2" thickBot="1">
      <c r="A31" s="474" t="s">
        <v>230</v>
      </c>
      <c r="B31" s="475">
        <v>234000</v>
      </c>
    </row>
    <row r="32" spans="1:2" s="265" customFormat="1" ht="16.2" thickBot="1">
      <c r="A32" s="354" t="s">
        <v>883</v>
      </c>
      <c r="B32" s="476">
        <v>0.02</v>
      </c>
    </row>
    <row r="33" spans="1:4" s="265" customFormat="1" ht="16.2" thickBot="1">
      <c r="A33" s="354" t="s">
        <v>884</v>
      </c>
      <c r="B33" s="477">
        <v>46</v>
      </c>
    </row>
    <row r="34" spans="1:4" s="265" customFormat="1" ht="16.2" thickBot="1">
      <c r="A34" s="354" t="s">
        <v>885</v>
      </c>
      <c r="B34" s="476">
        <v>0.03</v>
      </c>
    </row>
    <row r="35" spans="1:4" s="265" customFormat="1" ht="16.2" thickBot="1">
      <c r="A35" s="473"/>
    </row>
    <row r="36" spans="1:4" s="265" customFormat="1" ht="16.2" thickBot="1">
      <c r="A36" s="474"/>
      <c r="B36" s="478">
        <v>0.02</v>
      </c>
      <c r="C36" s="478">
        <v>0.04</v>
      </c>
      <c r="D36" s="478">
        <v>0.06</v>
      </c>
    </row>
    <row r="37" spans="1:4" s="265" customFormat="1" ht="16.2" thickBot="1">
      <c r="A37" s="354" t="s">
        <v>886</v>
      </c>
      <c r="B37" s="479">
        <v>86073.58</v>
      </c>
      <c r="C37" s="479">
        <v>48556.15</v>
      </c>
      <c r="D37" s="479">
        <v>29244.58</v>
      </c>
    </row>
    <row r="38" spans="1:4" s="265" customFormat="1" ht="16.2" thickBot="1">
      <c r="A38" s="354" t="s">
        <v>887</v>
      </c>
      <c r="B38" s="477">
        <v>131.97999999999999</v>
      </c>
      <c r="C38" s="477">
        <v>95.02</v>
      </c>
      <c r="D38" s="477">
        <v>72.349999999999994</v>
      </c>
    </row>
    <row r="39" spans="1:4" s="265" customFormat="1" ht="16.2" thickBot="1">
      <c r="A39" s="480"/>
      <c r="B39" s="477">
        <v>27.4</v>
      </c>
      <c r="C39" s="477">
        <v>20</v>
      </c>
      <c r="D39" s="477">
        <v>15.47</v>
      </c>
    </row>
    <row r="40" spans="1:4" s="265" customFormat="1" ht="16.2" thickBot="1">
      <c r="A40" s="480"/>
      <c r="B40" s="477">
        <v>6.57</v>
      </c>
      <c r="C40" s="477">
        <v>6.22</v>
      </c>
      <c r="D40" s="477">
        <v>5.89</v>
      </c>
    </row>
    <row r="41" spans="1:4" s="265" customFormat="1" ht="15.6">
      <c r="A41" s="473" t="s">
        <v>888</v>
      </c>
    </row>
    <row r="42" spans="1:4" s="265" customFormat="1" ht="15.6">
      <c r="A42" s="473" t="s">
        <v>889</v>
      </c>
    </row>
    <row r="43" spans="1:4" s="265" customFormat="1" ht="15.6">
      <c r="A43" s="473"/>
    </row>
    <row r="44" spans="1:4" s="265" customFormat="1" ht="15.6">
      <c r="A44" s="481" t="s">
        <v>969</v>
      </c>
    </row>
    <row r="45" spans="1:4" s="274" customFormat="1" ht="15.6">
      <c r="A45" s="346" t="s">
        <v>24</v>
      </c>
    </row>
    <row r="46" spans="1:4" s="274" customFormat="1" ht="15.6">
      <c r="A46" s="482"/>
    </row>
    <row r="47" spans="1:4" s="274" customFormat="1" ht="15.6">
      <c r="A47" s="482"/>
    </row>
    <row r="48" spans="1:4" s="274" customFormat="1" ht="15.6">
      <c r="A48" s="482"/>
    </row>
    <row r="49" spans="1:1" s="274" customFormat="1" ht="15.6">
      <c r="A49" s="482"/>
    </row>
    <row r="50" spans="1:1" s="274" customFormat="1" ht="15.6">
      <c r="A50" s="482"/>
    </row>
    <row r="51" spans="1:1" s="274" customFormat="1" ht="15.6">
      <c r="A51" s="482"/>
    </row>
    <row r="52" spans="1:1" s="274" customFormat="1" ht="15.6">
      <c r="A52" s="482"/>
    </row>
    <row r="53" spans="1:1" s="265" customFormat="1" ht="15.6">
      <c r="A53" s="481" t="s">
        <v>970</v>
      </c>
    </row>
    <row r="54" spans="1:1" s="274" customFormat="1" ht="15.6">
      <c r="A54" s="346" t="s">
        <v>24</v>
      </c>
    </row>
    <row r="55" spans="1:1" s="274" customFormat="1" ht="15.6">
      <c r="A55" s="483"/>
    </row>
    <row r="56" spans="1:1" s="274" customFormat="1" ht="15.6">
      <c r="A56" s="483"/>
    </row>
    <row r="57" spans="1:1" s="274" customFormat="1" ht="15.6">
      <c r="A57" s="483"/>
    </row>
    <row r="58" spans="1:1" s="274" customFormat="1" ht="15.6">
      <c r="A58" s="483"/>
    </row>
    <row r="59" spans="1:1" s="274" customFormat="1" ht="15.6">
      <c r="A59" s="483"/>
    </row>
    <row r="60" spans="1:1" s="274" customFormat="1" ht="15.6">
      <c r="A60" s="483"/>
    </row>
    <row r="61" spans="1:1" s="274" customFormat="1" ht="15.6">
      <c r="A61" s="483"/>
    </row>
    <row r="62" spans="1:1" s="265" customFormat="1" ht="15.6">
      <c r="A62" s="481" t="s">
        <v>971</v>
      </c>
    </row>
    <row r="63" spans="1:1" s="274" customFormat="1" ht="15.6">
      <c r="A63" s="346" t="s">
        <v>24</v>
      </c>
    </row>
    <row r="64" spans="1:1" s="274" customFormat="1" ht="15.6">
      <c r="A64" s="346"/>
    </row>
    <row r="65" spans="1:1" s="274" customFormat="1" ht="15.6">
      <c r="A65" s="346"/>
    </row>
    <row r="66" spans="1:1" s="274" customFormat="1" ht="15.6">
      <c r="A66" s="346"/>
    </row>
    <row r="67" spans="1:1" s="274" customFormat="1" ht="15.6">
      <c r="A67" s="346"/>
    </row>
    <row r="68" spans="1:1" s="274" customFormat="1" ht="15.6">
      <c r="A68" s="346"/>
    </row>
    <row r="69" spans="1:1" s="274" customFormat="1" ht="15.6">
      <c r="A69" s="346"/>
    </row>
    <row r="70" spans="1:1" s="274" customFormat="1" ht="15.6">
      <c r="A70" s="483"/>
    </row>
    <row r="71" spans="1:1" s="265" customFormat="1" ht="15.6">
      <c r="A71" s="481" t="s">
        <v>972</v>
      </c>
    </row>
    <row r="72" spans="1:1" s="274" customFormat="1" ht="15.6">
      <c r="A72" s="346" t="s">
        <v>24</v>
      </c>
    </row>
    <row r="73" spans="1:1" s="274" customFormat="1" ht="15.6">
      <c r="A73" s="483"/>
    </row>
    <row r="74" spans="1:1" s="274" customFormat="1"/>
    <row r="75" spans="1:1" s="274" customFormat="1"/>
    <row r="76" spans="1:1" s="274" customFormat="1"/>
    <row r="77" spans="1:1" s="274" customFormat="1"/>
    <row r="78" spans="1:1" s="274" customFormat="1"/>
    <row r="79" spans="1:1" s="274" customFormat="1"/>
    <row r="80" spans="1:1" s="274" customFormat="1"/>
    <row r="81" spans="1:2" s="274" customFormat="1"/>
    <row r="82" spans="1:2" s="274" customFormat="1"/>
    <row r="83" spans="1:2" s="265" customFormat="1" ht="15.6">
      <c r="A83" s="273" t="s">
        <v>973</v>
      </c>
    </row>
    <row r="84" spans="1:2" s="265" customFormat="1" ht="16.2" thickBot="1">
      <c r="A84" s="472"/>
    </row>
    <row r="85" spans="1:2" s="265" customFormat="1" ht="16.2" thickBot="1">
      <c r="A85" s="474" t="s">
        <v>890</v>
      </c>
      <c r="B85" s="484" t="s">
        <v>891</v>
      </c>
    </row>
    <row r="86" spans="1:2" s="265" customFormat="1" ht="16.2" thickBot="1">
      <c r="A86" s="485">
        <v>1</v>
      </c>
      <c r="B86" s="486">
        <v>10000</v>
      </c>
    </row>
    <row r="87" spans="1:2" s="265" customFormat="1" ht="16.2" thickBot="1">
      <c r="A87" s="485">
        <v>2</v>
      </c>
      <c r="B87" s="486">
        <v>5000</v>
      </c>
    </row>
    <row r="88" spans="1:2" s="265" customFormat="1" ht="16.2" thickBot="1">
      <c r="A88" s="485">
        <v>3</v>
      </c>
      <c r="B88" s="486">
        <v>25000</v>
      </c>
    </row>
    <row r="89" spans="1:2" s="265" customFormat="1" ht="16.2" thickBot="1">
      <c r="A89" s="485">
        <v>4</v>
      </c>
      <c r="B89" s="486">
        <v>3000</v>
      </c>
    </row>
    <row r="90" spans="1:2" s="265" customFormat="1" ht="16.2" thickBot="1">
      <c r="A90" s="485">
        <v>5</v>
      </c>
      <c r="B90" s="486">
        <v>2500</v>
      </c>
    </row>
    <row r="91" spans="1:2" s="265" customFormat="1" ht="16.2" thickBot="1">
      <c r="A91" s="485">
        <v>6</v>
      </c>
      <c r="B91" s="486">
        <v>2000</v>
      </c>
    </row>
    <row r="92" spans="1:2" s="265" customFormat="1" ht="16.2" thickBot="1">
      <c r="A92" s="485">
        <v>7</v>
      </c>
      <c r="B92" s="272">
        <v>0</v>
      </c>
    </row>
    <row r="93" spans="1:2" s="265" customFormat="1" ht="15.6">
      <c r="A93" s="473"/>
    </row>
    <row r="94" spans="1:2" s="265" customFormat="1" ht="15.6">
      <c r="A94" s="481" t="s">
        <v>974</v>
      </c>
    </row>
    <row r="95" spans="1:2" s="274" customFormat="1" ht="15.6">
      <c r="A95" s="346" t="s">
        <v>24</v>
      </c>
    </row>
    <row r="96" spans="1:2" s="274" customFormat="1" ht="15.6">
      <c r="A96" s="346"/>
    </row>
    <row r="97" spans="1:1" s="274" customFormat="1" ht="15.6">
      <c r="A97" s="346"/>
    </row>
    <row r="98" spans="1:1" s="274" customFormat="1" ht="15.6">
      <c r="A98" s="346"/>
    </row>
    <row r="99" spans="1:1" s="274" customFormat="1" ht="15.6">
      <c r="A99" s="346"/>
    </row>
    <row r="100" spans="1:1" s="274" customFormat="1" ht="15.6">
      <c r="A100" s="346"/>
    </row>
    <row r="101" spans="1:1" s="274" customFormat="1" ht="15.6">
      <c r="A101" s="346"/>
    </row>
    <row r="102" spans="1:1" s="274" customFormat="1" ht="15.6">
      <c r="A102" s="346"/>
    </row>
    <row r="103" spans="1:1" s="274" customFormat="1" ht="15.6">
      <c r="A103" s="346"/>
    </row>
    <row r="104" spans="1:1" s="274" customFormat="1" ht="15.6">
      <c r="A104" s="346"/>
    </row>
    <row r="105" spans="1:1" s="274" customFormat="1" ht="15.6">
      <c r="A105" s="346"/>
    </row>
    <row r="106" spans="1:1" s="274" customFormat="1" ht="15.6">
      <c r="A106" s="483"/>
    </row>
    <row r="107" spans="1:1" s="265" customFormat="1" ht="15.6">
      <c r="A107" s="487" t="s">
        <v>892</v>
      </c>
    </row>
    <row r="108" spans="1:1" s="274" customFormat="1" ht="15.6">
      <c r="A108" s="346" t="s">
        <v>24</v>
      </c>
    </row>
    <row r="109" spans="1:1" s="274" customFormat="1"/>
    <row r="110" spans="1:1" s="274" customFormat="1"/>
    <row r="111" spans="1:1" s="274" customFormat="1"/>
    <row r="112" spans="1:1" s="274" customFormat="1"/>
    <row r="113" s="274" customFormat="1"/>
    <row r="114" s="274" customFormat="1"/>
    <row r="115" s="274" customFormat="1"/>
    <row r="116" s="274" customFormat="1"/>
    <row r="117" s="274" customFormat="1"/>
    <row r="118" s="274" customFormat="1"/>
    <row r="119" s="274" customFormat="1"/>
    <row r="120" s="274" customFormat="1"/>
    <row r="121" s="274" customFormat="1"/>
    <row r="122" s="274" customFormat="1"/>
    <row r="123" s="274" customFormat="1"/>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0666-0391-4F83-BA61-2A5458F242D3}">
  <dimension ref="A1:G78"/>
  <sheetViews>
    <sheetView topLeftCell="A31" workbookViewId="0">
      <selection activeCell="A31" sqref="A31"/>
    </sheetView>
  </sheetViews>
  <sheetFormatPr defaultColWidth="9.21875" defaultRowHeight="14.4"/>
  <cols>
    <col min="1" max="1" width="29.5546875" style="67" customWidth="1"/>
    <col min="2" max="5" width="9.21875" style="67"/>
    <col min="6" max="6" width="9.77734375" style="67" customWidth="1"/>
    <col min="7" max="16384" width="9.21875" style="67"/>
  </cols>
  <sheetData>
    <row r="1" spans="1:1" s="66" customFormat="1" ht="17.399999999999999">
      <c r="A1" s="65" t="s">
        <v>893</v>
      </c>
    </row>
    <row r="2" spans="1:1" s="66" customFormat="1" ht="15.6">
      <c r="A2" s="68" t="s">
        <v>894</v>
      </c>
    </row>
    <row r="3" spans="1:1" s="66" customFormat="1" ht="15.6">
      <c r="A3" s="68" t="s">
        <v>895</v>
      </c>
    </row>
    <row r="4" spans="1:1" s="66" customFormat="1"/>
    <row r="5" spans="1:1" s="265" customFormat="1" ht="15.6">
      <c r="A5" s="273" t="s">
        <v>975</v>
      </c>
    </row>
    <row r="6" spans="1:1" s="265" customFormat="1" ht="15.6">
      <c r="A6" s="316" t="s">
        <v>896</v>
      </c>
    </row>
    <row r="7" spans="1:1" s="265" customFormat="1" ht="15.6">
      <c r="A7" s="488" t="s">
        <v>976</v>
      </c>
    </row>
    <row r="8" spans="1:1" s="265" customFormat="1" ht="15.6">
      <c r="A8" s="488" t="s">
        <v>977</v>
      </c>
    </row>
    <row r="9" spans="1:1" s="265" customFormat="1" ht="15.6">
      <c r="A9" s="488" t="s">
        <v>978</v>
      </c>
    </row>
    <row r="10" spans="1:1" s="265" customFormat="1"/>
    <row r="11" spans="1:1" s="265" customFormat="1" ht="15.6">
      <c r="A11" s="367" t="s">
        <v>897</v>
      </c>
    </row>
    <row r="12" spans="1:1" s="274" customFormat="1" ht="15.6">
      <c r="A12" s="346" t="s">
        <v>24</v>
      </c>
    </row>
    <row r="13" spans="1:1" s="274" customFormat="1"/>
    <row r="18" spans="1:7" ht="15.6">
      <c r="A18" s="118"/>
    </row>
    <row r="19" spans="1:7" s="66" customFormat="1" ht="15.6">
      <c r="A19" s="230" t="s">
        <v>898</v>
      </c>
    </row>
    <row r="20" spans="1:7" s="66" customFormat="1" ht="16.2" thickBot="1">
      <c r="A20" s="70"/>
    </row>
    <row r="21" spans="1:7" s="66" customFormat="1" ht="16.2" thickBot="1">
      <c r="A21" s="153"/>
      <c r="B21" s="408" t="s">
        <v>899</v>
      </c>
      <c r="C21" s="408" t="s">
        <v>900</v>
      </c>
      <c r="D21" s="408" t="s">
        <v>901</v>
      </c>
      <c r="E21" s="408" t="s">
        <v>902</v>
      </c>
      <c r="F21" s="408" t="s">
        <v>903</v>
      </c>
      <c r="G21" s="408" t="s">
        <v>904</v>
      </c>
    </row>
    <row r="22" spans="1:7" s="66" customFormat="1" ht="16.2" thickBot="1">
      <c r="A22" s="193" t="s">
        <v>199</v>
      </c>
      <c r="B22" s="202"/>
      <c r="C22" s="185">
        <v>500</v>
      </c>
      <c r="D22" s="185">
        <v>450</v>
      </c>
      <c r="E22" s="185">
        <v>400</v>
      </c>
      <c r="F22" s="185">
        <v>350</v>
      </c>
      <c r="G22" s="185">
        <v>300</v>
      </c>
    </row>
    <row r="23" spans="1:7" s="66" customFormat="1" ht="16.2" thickBot="1">
      <c r="A23" s="193" t="s">
        <v>905</v>
      </c>
      <c r="B23" s="202"/>
      <c r="C23" s="185">
        <v>138</v>
      </c>
      <c r="D23" s="185">
        <v>131</v>
      </c>
      <c r="E23" s="185">
        <v>125</v>
      </c>
      <c r="F23" s="185">
        <v>118</v>
      </c>
      <c r="G23" s="185">
        <v>112</v>
      </c>
    </row>
    <row r="24" spans="1:7" s="66" customFormat="1" ht="16.2" thickBot="1">
      <c r="A24" s="193" t="s">
        <v>165</v>
      </c>
      <c r="B24" s="202"/>
      <c r="C24" s="185">
        <v>200</v>
      </c>
      <c r="D24" s="185">
        <v>210</v>
      </c>
      <c r="E24" s="185">
        <v>220</v>
      </c>
      <c r="F24" s="185">
        <v>230</v>
      </c>
      <c r="G24" s="185">
        <v>240</v>
      </c>
    </row>
    <row r="25" spans="1:7" s="66" customFormat="1" ht="16.2" thickBot="1">
      <c r="A25" s="193" t="s">
        <v>906</v>
      </c>
      <c r="B25" s="202"/>
      <c r="C25" s="185">
        <v>10</v>
      </c>
      <c r="D25" s="185">
        <v>9</v>
      </c>
      <c r="E25" s="185">
        <v>8</v>
      </c>
      <c r="F25" s="185">
        <v>7</v>
      </c>
      <c r="G25" s="185">
        <v>6</v>
      </c>
    </row>
    <row r="26" spans="1:7" s="66" customFormat="1" ht="16.2" thickBot="1">
      <c r="A26" s="193" t="s">
        <v>168</v>
      </c>
      <c r="B26" s="202"/>
      <c r="C26" s="185">
        <v>100</v>
      </c>
      <c r="D26" s="185">
        <v>90</v>
      </c>
      <c r="E26" s="185">
        <v>80</v>
      </c>
      <c r="F26" s="185">
        <v>70</v>
      </c>
      <c r="G26" s="185">
        <v>60</v>
      </c>
    </row>
    <row r="27" spans="1:7" s="66" customFormat="1" ht="16.2" thickBot="1">
      <c r="A27" s="193" t="s">
        <v>907</v>
      </c>
      <c r="B27" s="185">
        <v>2000</v>
      </c>
      <c r="C27" s="185">
        <v>1900</v>
      </c>
      <c r="D27" s="185">
        <v>1800</v>
      </c>
      <c r="E27" s="185">
        <v>1700</v>
      </c>
      <c r="F27" s="185">
        <v>1600</v>
      </c>
      <c r="G27" s="185">
        <v>0</v>
      </c>
    </row>
    <row r="28" spans="1:7" s="66" customFormat="1" ht="16.2" thickBot="1">
      <c r="A28" s="193" t="s">
        <v>908</v>
      </c>
      <c r="B28" s="185">
        <v>300</v>
      </c>
      <c r="C28" s="185">
        <v>290</v>
      </c>
      <c r="D28" s="185">
        <v>280</v>
      </c>
      <c r="E28" s="185">
        <v>270</v>
      </c>
      <c r="F28" s="185">
        <v>260</v>
      </c>
      <c r="G28" s="185">
        <v>0</v>
      </c>
    </row>
    <row r="29" spans="1:7" s="66" customFormat="1" ht="15.6">
      <c r="A29" s="70"/>
      <c r="B29" s="250"/>
      <c r="C29" s="250"/>
      <c r="D29" s="250"/>
      <c r="E29" s="250"/>
      <c r="F29" s="250"/>
      <c r="G29" s="250"/>
    </row>
    <row r="30" spans="1:7" s="66" customFormat="1" ht="15.6">
      <c r="A30" s="70" t="s">
        <v>909</v>
      </c>
    </row>
    <row r="31" spans="1:7" s="66" customFormat="1" ht="16.2" thickBot="1">
      <c r="A31" s="70"/>
    </row>
    <row r="32" spans="1:7" s="66" customFormat="1" ht="16.2" thickBot="1">
      <c r="A32" s="203" t="s">
        <v>910</v>
      </c>
      <c r="B32" s="409">
        <v>0.06</v>
      </c>
    </row>
    <row r="33" spans="1:2" s="66" customFormat="1" ht="16.2" thickBot="1">
      <c r="A33" s="193" t="s">
        <v>911</v>
      </c>
      <c r="B33" s="410">
        <v>0.21</v>
      </c>
    </row>
    <row r="34" spans="1:2" s="66" customFormat="1" ht="16.2" thickBot="1">
      <c r="A34" s="193" t="s">
        <v>912</v>
      </c>
      <c r="B34" s="381">
        <v>0</v>
      </c>
    </row>
    <row r="35" spans="1:2" s="66" customFormat="1" ht="16.2" thickBot="1">
      <c r="A35" s="193" t="s">
        <v>913</v>
      </c>
      <c r="B35" s="410">
        <v>0.1</v>
      </c>
    </row>
    <row r="36" spans="1:2" s="66" customFormat="1" ht="15.6">
      <c r="A36" s="70"/>
    </row>
    <row r="37" spans="1:2" s="66" customFormat="1" ht="15.6">
      <c r="A37" s="70" t="s">
        <v>914</v>
      </c>
    </row>
    <row r="38" spans="1:2" s="66" customFormat="1" ht="15.6">
      <c r="A38" s="70"/>
    </row>
    <row r="39" spans="1:2" s="66" customFormat="1" ht="15.6">
      <c r="A39" s="70" t="s">
        <v>979</v>
      </c>
    </row>
    <row r="40" spans="1:2" s="66" customFormat="1" ht="15.6">
      <c r="A40" s="70"/>
    </row>
    <row r="41" spans="1:2" s="66" customFormat="1"/>
    <row r="42" spans="1:2" s="66" customFormat="1" ht="15.6">
      <c r="A42" s="230" t="s">
        <v>915</v>
      </c>
    </row>
    <row r="43" spans="1:2" ht="15.6">
      <c r="A43" s="120" t="s">
        <v>24</v>
      </c>
    </row>
    <row r="44" spans="1:2" ht="15.6">
      <c r="A44" s="120"/>
    </row>
    <row r="45" spans="1:2" ht="15.6">
      <c r="A45" s="120"/>
    </row>
    <row r="46" spans="1:2" ht="15.6">
      <c r="A46" s="120"/>
    </row>
    <row r="47" spans="1:2" ht="15.6">
      <c r="A47" s="120"/>
    </row>
    <row r="48" spans="1:2" ht="15.6">
      <c r="A48" s="120"/>
    </row>
    <row r="49" spans="1:1" ht="15.6">
      <c r="A49" s="120"/>
    </row>
    <row r="50" spans="1:1" ht="15.6">
      <c r="A50" s="120"/>
    </row>
    <row r="51" spans="1:1" ht="15.6">
      <c r="A51" s="120"/>
    </row>
    <row r="52" spans="1:1" ht="15.6">
      <c r="A52" s="120"/>
    </row>
    <row r="53" spans="1:1" ht="15.6">
      <c r="A53" s="120"/>
    </row>
    <row r="54" spans="1:1" s="66" customFormat="1" ht="15.6">
      <c r="A54" s="230" t="s">
        <v>916</v>
      </c>
    </row>
    <row r="55" spans="1:1" ht="15.6">
      <c r="A55" s="120" t="s">
        <v>24</v>
      </c>
    </row>
    <row r="56" spans="1:1" ht="15.6">
      <c r="A56" s="120"/>
    </row>
    <row r="57" spans="1:1" ht="15.6">
      <c r="A57" s="120"/>
    </row>
    <row r="58" spans="1:1" ht="15.6">
      <c r="A58" s="120"/>
    </row>
    <row r="59" spans="1:1" ht="15.6">
      <c r="A59" s="120"/>
    </row>
    <row r="60" spans="1:1" ht="15.6">
      <c r="A60" s="120"/>
    </row>
    <row r="61" spans="1:1" ht="15.6">
      <c r="A61" s="120"/>
    </row>
    <row r="62" spans="1:1" ht="15.6">
      <c r="A62" s="120"/>
    </row>
    <row r="63" spans="1:1" ht="15.6">
      <c r="A63" s="120"/>
    </row>
    <row r="64" spans="1:1" ht="15.6">
      <c r="A64" s="120"/>
    </row>
    <row r="65" spans="1:1" s="66" customFormat="1" ht="15.6">
      <c r="A65" s="230" t="s">
        <v>917</v>
      </c>
    </row>
    <row r="66" spans="1:1" ht="15.6">
      <c r="A66" s="120" t="s">
        <v>24</v>
      </c>
    </row>
    <row r="67" spans="1:1" ht="15.6">
      <c r="A67" s="120"/>
    </row>
    <row r="68" spans="1:1" ht="15.6">
      <c r="A68" s="120"/>
    </row>
    <row r="69" spans="1:1" ht="15.6">
      <c r="A69" s="120"/>
    </row>
    <row r="70" spans="1:1" ht="15.6">
      <c r="A70" s="120"/>
    </row>
    <row r="71" spans="1:1" ht="15.6">
      <c r="A71" s="120"/>
    </row>
    <row r="72" spans="1:1" ht="15.6">
      <c r="A72" s="120"/>
    </row>
    <row r="73" spans="1:1" ht="15.6">
      <c r="A73" s="120"/>
    </row>
    <row r="74" spans="1:1" ht="15.6">
      <c r="A74" s="120"/>
    </row>
    <row r="75" spans="1:1" ht="15.6">
      <c r="A75" s="120"/>
    </row>
    <row r="76" spans="1:1" ht="15.6">
      <c r="A76" s="120"/>
    </row>
    <row r="77" spans="1:1" s="66" customFormat="1" ht="15.6">
      <c r="A77" s="230" t="s">
        <v>918</v>
      </c>
    </row>
    <row r="78" spans="1:1" ht="15.6">
      <c r="A78" s="120" t="s">
        <v>24</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E161D-7B8E-47C0-A2F8-22AAD91B531E}">
  <sheetPr>
    <tabColor rgb="FFFF0000"/>
  </sheetPr>
  <dimension ref="A1:B16"/>
  <sheetViews>
    <sheetView workbookViewId="0">
      <selection sqref="A1:XFD1048576"/>
    </sheetView>
  </sheetViews>
  <sheetFormatPr defaultColWidth="9.21875" defaultRowHeight="14.4"/>
  <cols>
    <col min="1" max="1" width="28.77734375" style="274" customWidth="1"/>
    <col min="2" max="2" width="9.5546875" style="274" customWidth="1"/>
    <col min="3" max="16384" width="9.21875" style="274"/>
  </cols>
  <sheetData>
    <row r="1" spans="1:2" s="265" customFormat="1" ht="17.399999999999999">
      <c r="A1" s="264" t="s">
        <v>919</v>
      </c>
    </row>
    <row r="2" spans="1:2" s="265" customFormat="1" ht="15.6">
      <c r="A2" s="266" t="s">
        <v>920</v>
      </c>
    </row>
    <row r="3" spans="1:2" s="265" customFormat="1" ht="15.6">
      <c r="A3" s="266" t="s">
        <v>388</v>
      </c>
    </row>
    <row r="4" spans="1:2" s="265" customFormat="1"/>
    <row r="5" spans="1:2" s="265" customFormat="1" ht="15.6">
      <c r="A5" s="273" t="s">
        <v>980</v>
      </c>
    </row>
    <row r="6" spans="1:2" s="265" customFormat="1" ht="16.2" thickBot="1">
      <c r="A6" s="315"/>
    </row>
    <row r="7" spans="1:2" s="265" customFormat="1" ht="16.2" thickBot="1">
      <c r="A7" s="269" t="s">
        <v>921</v>
      </c>
      <c r="B7" s="489">
        <v>5</v>
      </c>
    </row>
    <row r="8" spans="1:2" s="265" customFormat="1" ht="16.2" thickBot="1">
      <c r="A8" s="271" t="s">
        <v>922</v>
      </c>
      <c r="B8" s="490">
        <v>0</v>
      </c>
    </row>
    <row r="9" spans="1:2" s="265" customFormat="1" ht="16.2" thickBot="1">
      <c r="A9" s="271" t="s">
        <v>923</v>
      </c>
      <c r="B9" s="491">
        <v>0</v>
      </c>
    </row>
    <row r="10" spans="1:2" s="265" customFormat="1" ht="16.2" thickBot="1">
      <c r="A10" s="271" t="s">
        <v>924</v>
      </c>
      <c r="B10" s="491">
        <v>10</v>
      </c>
    </row>
    <row r="11" spans="1:2" s="265" customFormat="1" ht="31.8" thickBot="1">
      <c r="A11" s="271" t="s">
        <v>925</v>
      </c>
      <c r="B11" s="491">
        <v>25</v>
      </c>
    </row>
    <row r="12" spans="1:2" s="265" customFormat="1" ht="16.2" thickBot="1">
      <c r="A12" s="271" t="s">
        <v>926</v>
      </c>
      <c r="B12" s="491">
        <v>10</v>
      </c>
    </row>
    <row r="13" spans="1:2" s="265" customFormat="1" ht="16.2" thickBot="1">
      <c r="A13" s="271" t="s">
        <v>927</v>
      </c>
      <c r="B13" s="491">
        <v>5</v>
      </c>
    </row>
    <row r="14" spans="1:2" s="265" customFormat="1" ht="15.6">
      <c r="A14" s="268"/>
    </row>
    <row r="15" spans="1:2" s="265" customFormat="1" ht="15.6">
      <c r="A15" s="268" t="s">
        <v>981</v>
      </c>
    </row>
    <row r="16" spans="1:2" ht="15.6">
      <c r="A16" s="346" t="s">
        <v>24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A7368-23C8-43D8-996E-E09861067402}">
  <sheetPr>
    <tabColor theme="3"/>
  </sheetPr>
  <dimension ref="A1"/>
  <sheetViews>
    <sheetView workbookViewId="0">
      <selection activeCell="I25" sqref="I25"/>
    </sheetView>
  </sheetViews>
  <sheetFormatPr defaultRowHeight="13.2"/>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DFD20-C5B7-42D4-8219-35E3352BBA3B}">
  <dimension ref="A1:F52"/>
  <sheetViews>
    <sheetView workbookViewId="0"/>
  </sheetViews>
  <sheetFormatPr defaultColWidth="9.21875" defaultRowHeight="14.4"/>
  <cols>
    <col min="1" max="1" width="33.44140625" style="448" customWidth="1"/>
    <col min="2" max="2" width="25.5546875" style="448" customWidth="1"/>
    <col min="3" max="3" width="12" style="448" customWidth="1"/>
    <col min="4" max="4" width="10.21875" style="448" customWidth="1"/>
    <col min="5" max="5" width="12.21875" style="448" customWidth="1"/>
    <col min="6" max="6" width="11.77734375" style="448" customWidth="1"/>
    <col min="7" max="7" width="13.44140625" style="448" customWidth="1"/>
    <col min="8" max="8" width="12.44140625" style="448" customWidth="1"/>
    <col min="9" max="16384" width="9.21875" style="448"/>
  </cols>
  <sheetData>
    <row r="1" spans="1:5" s="493" customFormat="1" ht="17.399999999999999">
      <c r="A1" s="523" t="s">
        <v>1007</v>
      </c>
    </row>
    <row r="2" spans="1:5" s="493" customFormat="1" ht="15.6">
      <c r="A2" s="522" t="s">
        <v>1006</v>
      </c>
    </row>
    <row r="3" spans="1:5" s="493" customFormat="1" ht="15.6">
      <c r="A3" s="522" t="s">
        <v>1005</v>
      </c>
    </row>
    <row r="4" spans="1:5" s="493" customFormat="1"/>
    <row r="5" spans="1:5" s="493" customFormat="1" ht="15.6">
      <c r="A5" s="494" t="s">
        <v>1004</v>
      </c>
    </row>
    <row r="6" spans="1:5" s="493" customFormat="1" ht="15.6">
      <c r="A6" s="494"/>
    </row>
    <row r="7" spans="1:5" s="493" customFormat="1" ht="15.6">
      <c r="A7" s="521" t="s">
        <v>1003</v>
      </c>
    </row>
    <row r="8" spans="1:5" s="493" customFormat="1" ht="15.6">
      <c r="A8" s="521" t="s">
        <v>1002</v>
      </c>
    </row>
    <row r="9" spans="1:5" s="493" customFormat="1"/>
    <row r="10" spans="1:5" s="493" customFormat="1" ht="15.6">
      <c r="A10" s="520" t="s">
        <v>1001</v>
      </c>
      <c r="B10" s="520"/>
      <c r="C10" s="520"/>
      <c r="D10" s="520"/>
      <c r="E10" s="520"/>
    </row>
    <row r="11" spans="1:5" s="493" customFormat="1" ht="15.6">
      <c r="A11" s="519"/>
      <c r="B11" s="518" t="s">
        <v>1000</v>
      </c>
      <c r="C11" s="518" t="s">
        <v>999</v>
      </c>
      <c r="D11" s="518" t="s">
        <v>998</v>
      </c>
      <c r="E11" s="517" t="s">
        <v>997</v>
      </c>
    </row>
    <row r="12" spans="1:5" s="493" customFormat="1" ht="15.6">
      <c r="A12" s="504" t="s">
        <v>1000</v>
      </c>
      <c r="B12" s="516">
        <v>1</v>
      </c>
      <c r="C12" s="516"/>
      <c r="D12" s="516"/>
      <c r="E12" s="515"/>
    </row>
    <row r="13" spans="1:5" s="493" customFormat="1" ht="15.6">
      <c r="A13" s="504" t="s">
        <v>999</v>
      </c>
      <c r="B13" s="516">
        <v>0.25</v>
      </c>
      <c r="C13" s="516">
        <v>1</v>
      </c>
      <c r="D13" s="516"/>
      <c r="E13" s="515"/>
    </row>
    <row r="14" spans="1:5" s="493" customFormat="1" ht="15.6">
      <c r="A14" s="504" t="s">
        <v>998</v>
      </c>
      <c r="B14" s="516">
        <v>0.5</v>
      </c>
      <c r="C14" s="516">
        <v>0.2</v>
      </c>
      <c r="D14" s="516">
        <v>1</v>
      </c>
      <c r="E14" s="515"/>
    </row>
    <row r="15" spans="1:5" s="493" customFormat="1" ht="15.6">
      <c r="A15" s="499" t="s">
        <v>997</v>
      </c>
      <c r="B15" s="514">
        <v>0</v>
      </c>
      <c r="C15" s="514">
        <v>0</v>
      </c>
      <c r="D15" s="514">
        <v>0</v>
      </c>
      <c r="E15" s="513">
        <v>1</v>
      </c>
    </row>
    <row r="16" spans="1:5" s="493" customFormat="1"/>
    <row r="17" spans="1:6" s="493" customFormat="1" ht="93.6">
      <c r="A17" s="512" t="s">
        <v>996</v>
      </c>
      <c r="B17" s="511" t="s">
        <v>995</v>
      </c>
      <c r="C17" s="511" t="s">
        <v>994</v>
      </c>
      <c r="D17" s="510" t="s">
        <v>993</v>
      </c>
    </row>
    <row r="18" spans="1:6" s="493" customFormat="1" ht="15.6">
      <c r="A18" s="509" t="s">
        <v>992</v>
      </c>
      <c r="B18" s="508">
        <v>0.3</v>
      </c>
      <c r="C18" s="507">
        <v>2000</v>
      </c>
      <c r="D18" s="506">
        <v>250</v>
      </c>
    </row>
    <row r="19" spans="1:6" s="493" customFormat="1" ht="15.6">
      <c r="A19" s="504" t="s">
        <v>991</v>
      </c>
      <c r="B19" s="505">
        <v>0.4</v>
      </c>
      <c r="C19" s="502">
        <v>1000</v>
      </c>
      <c r="D19" s="501">
        <v>200</v>
      </c>
    </row>
    <row r="20" spans="1:6" s="493" customFormat="1" ht="15.6">
      <c r="A20" s="504" t="s">
        <v>990</v>
      </c>
      <c r="B20" s="505">
        <v>0.25</v>
      </c>
      <c r="C20" s="502">
        <v>3000</v>
      </c>
      <c r="D20" s="501">
        <v>500</v>
      </c>
    </row>
    <row r="21" spans="1:6" s="493" customFormat="1" ht="15.6">
      <c r="A21" s="504" t="s">
        <v>989</v>
      </c>
      <c r="B21" s="505">
        <v>0.2</v>
      </c>
      <c r="C21" s="502">
        <v>8000</v>
      </c>
      <c r="D21" s="501">
        <v>500</v>
      </c>
    </row>
    <row r="22" spans="1:6" s="493" customFormat="1" ht="15.6">
      <c r="A22" s="504" t="s">
        <v>988</v>
      </c>
      <c r="B22" s="503">
        <v>0.222</v>
      </c>
      <c r="C22" s="502">
        <v>6000</v>
      </c>
      <c r="D22" s="501">
        <v>950</v>
      </c>
    </row>
    <row r="23" spans="1:6" s="493" customFormat="1" ht="15.6">
      <c r="A23" s="504" t="s">
        <v>987</v>
      </c>
      <c r="B23" s="503">
        <v>0.16200000000000001</v>
      </c>
      <c r="C23" s="502">
        <v>11000</v>
      </c>
      <c r="D23" s="501">
        <v>950</v>
      </c>
    </row>
    <row r="24" spans="1:6" s="493" customFormat="1" ht="15.6">
      <c r="A24" s="504" t="s">
        <v>986</v>
      </c>
      <c r="B24" s="503">
        <v>0.152</v>
      </c>
      <c r="C24" s="502">
        <v>13000</v>
      </c>
      <c r="D24" s="501">
        <v>1250</v>
      </c>
    </row>
    <row r="25" spans="1:6" s="493" customFormat="1" ht="15.6">
      <c r="A25" s="504" t="s">
        <v>985</v>
      </c>
      <c r="B25" s="503">
        <v>0.153</v>
      </c>
      <c r="C25" s="502">
        <v>12000</v>
      </c>
      <c r="D25" s="501">
        <v>1200</v>
      </c>
      <c r="F25" s="500"/>
    </row>
    <row r="26" spans="1:6" s="493" customFormat="1" ht="15.6">
      <c r="A26" s="499" t="s">
        <v>984</v>
      </c>
      <c r="B26" s="498">
        <v>0.14799999999999999</v>
      </c>
      <c r="C26" s="497">
        <v>14000</v>
      </c>
      <c r="D26" s="496">
        <v>1450</v>
      </c>
    </row>
    <row r="27" spans="1:6" s="493" customFormat="1"/>
    <row r="28" spans="1:6" s="493" customFormat="1" ht="15.6">
      <c r="A28" s="494" t="s">
        <v>983</v>
      </c>
    </row>
    <row r="29" spans="1:6" ht="15.6">
      <c r="A29" s="492" t="s">
        <v>24</v>
      </c>
    </row>
    <row r="30" spans="1:6" ht="15.6">
      <c r="A30" s="492"/>
    </row>
    <row r="31" spans="1:6" ht="15.6">
      <c r="A31" s="492"/>
    </row>
    <row r="32" spans="1:6" ht="15.6">
      <c r="A32" s="492"/>
    </row>
    <row r="33" spans="1:1" ht="15.6">
      <c r="A33" s="492"/>
    </row>
    <row r="34" spans="1:1" ht="15.6">
      <c r="A34" s="492"/>
    </row>
    <row r="35" spans="1:1" ht="15.6">
      <c r="A35" s="492"/>
    </row>
    <row r="36" spans="1:1" ht="15.6">
      <c r="A36" s="492"/>
    </row>
    <row r="37" spans="1:1" ht="15.6">
      <c r="A37" s="492"/>
    </row>
    <row r="38" spans="1:1" ht="15.6">
      <c r="A38" s="492"/>
    </row>
    <row r="39" spans="1:1" ht="15.6">
      <c r="A39" s="492"/>
    </row>
    <row r="40" spans="1:1" ht="15.6">
      <c r="A40" s="492"/>
    </row>
    <row r="41" spans="1:1" ht="15.6">
      <c r="A41" s="492"/>
    </row>
    <row r="42" spans="1:1" ht="15.6">
      <c r="A42" s="492"/>
    </row>
    <row r="43" spans="1:1" ht="15.6">
      <c r="A43" s="492"/>
    </row>
    <row r="44" spans="1:1" ht="15.6">
      <c r="A44" s="492"/>
    </row>
    <row r="45" spans="1:1" ht="15.6">
      <c r="A45" s="492"/>
    </row>
    <row r="46" spans="1:1" ht="15.6">
      <c r="A46" s="492"/>
    </row>
    <row r="47" spans="1:1" ht="15.6">
      <c r="A47" s="492"/>
    </row>
    <row r="48" spans="1:1" ht="15.6">
      <c r="A48" s="492"/>
    </row>
    <row r="49" spans="1:1" ht="15.6">
      <c r="A49" s="495"/>
    </row>
    <row r="50" spans="1:1" ht="15.6">
      <c r="A50" s="495"/>
    </row>
    <row r="51" spans="1:1" s="493" customFormat="1" ht="15.6">
      <c r="A51" s="494" t="s">
        <v>982</v>
      </c>
    </row>
    <row r="52" spans="1:1" ht="15.6">
      <c r="A52" s="492" t="s">
        <v>24</v>
      </c>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92D42-A5F3-4B02-8382-3B58DB4038B6}">
  <dimension ref="A1:H43"/>
  <sheetViews>
    <sheetView workbookViewId="0"/>
  </sheetViews>
  <sheetFormatPr defaultColWidth="9.21875" defaultRowHeight="14.4"/>
  <cols>
    <col min="1" max="1" width="15.77734375" style="448" customWidth="1"/>
    <col min="2" max="2" width="10.5546875" style="448" customWidth="1"/>
    <col min="3" max="3" width="11.77734375" style="448" customWidth="1"/>
    <col min="4" max="5" width="9.21875" style="448"/>
    <col min="6" max="6" width="10.77734375" style="448" customWidth="1"/>
    <col min="7" max="7" width="11.5546875" style="448" customWidth="1"/>
    <col min="8" max="8" width="12.21875" style="448" customWidth="1"/>
    <col min="9" max="16384" width="9.21875" style="448"/>
  </cols>
  <sheetData>
    <row r="1" spans="1:2" s="493" customFormat="1" ht="17.399999999999999">
      <c r="A1" s="523" t="s">
        <v>1028</v>
      </c>
    </row>
    <row r="2" spans="1:2" s="493" customFormat="1" ht="15.6">
      <c r="A2" s="522" t="s">
        <v>1027</v>
      </c>
    </row>
    <row r="3" spans="1:2" s="493" customFormat="1" ht="15.6">
      <c r="A3" s="522"/>
    </row>
    <row r="4" spans="1:2" s="493" customFormat="1" ht="15.6">
      <c r="A4" s="494" t="s">
        <v>1026</v>
      </c>
    </row>
    <row r="5" spans="1:2" s="493" customFormat="1" ht="15.6">
      <c r="A5" s="494"/>
    </row>
    <row r="6" spans="1:2" s="493" customFormat="1" ht="15.6">
      <c r="A6" s="494"/>
    </row>
    <row r="7" spans="1:2" s="493" customFormat="1" ht="15.6">
      <c r="A7" s="494" t="s">
        <v>1025</v>
      </c>
    </row>
    <row r="8" spans="1:2" s="493" customFormat="1" ht="16.2" thickBot="1">
      <c r="A8" s="494"/>
    </row>
    <row r="9" spans="1:2" s="493" customFormat="1" ht="15" customHeight="1" thickBot="1">
      <c r="A9" s="535" t="s">
        <v>1024</v>
      </c>
      <c r="B9" s="538">
        <v>7.0000000000000007E-2</v>
      </c>
    </row>
    <row r="10" spans="1:2" s="493" customFormat="1" ht="15" customHeight="1" thickBot="1">
      <c r="A10" s="533" t="s">
        <v>1023</v>
      </c>
      <c r="B10" s="537">
        <v>1.1000000000000001</v>
      </c>
    </row>
    <row r="11" spans="1:2" s="493" customFormat="1" ht="15" customHeight="1" thickBot="1">
      <c r="A11" s="533" t="s">
        <v>1022</v>
      </c>
      <c r="B11" s="537">
        <v>0.02</v>
      </c>
    </row>
    <row r="12" spans="1:2" s="493" customFormat="1" ht="15" customHeight="1" thickBot="1">
      <c r="A12" s="533" t="s">
        <v>1021</v>
      </c>
      <c r="B12" s="537">
        <v>0.06</v>
      </c>
    </row>
    <row r="13" spans="1:2" s="493" customFormat="1" ht="15" customHeight="1" thickBot="1">
      <c r="A13" s="533" t="s">
        <v>1020</v>
      </c>
      <c r="B13" s="537">
        <v>0.01</v>
      </c>
    </row>
    <row r="14" spans="1:2" s="493" customFormat="1" ht="15.6">
      <c r="A14" s="494"/>
    </row>
    <row r="15" spans="1:2" s="493" customFormat="1" ht="15.6">
      <c r="A15" s="494" t="s">
        <v>1019</v>
      </c>
    </row>
    <row r="16" spans="1:2" ht="15.6">
      <c r="A16" s="524" t="s">
        <v>24</v>
      </c>
    </row>
    <row r="22" spans="1:8" s="493" customFormat="1" ht="15.6">
      <c r="A22" s="494" t="s">
        <v>1018</v>
      </c>
    </row>
    <row r="23" spans="1:8" s="493" customFormat="1" ht="16.2" thickBot="1">
      <c r="A23" s="536"/>
    </row>
    <row r="24" spans="1:8" s="493" customFormat="1" ht="16.2" thickBot="1">
      <c r="A24" s="535" t="s">
        <v>1017</v>
      </c>
      <c r="B24" s="534">
        <v>0.03</v>
      </c>
    </row>
    <row r="25" spans="1:8" s="493" customFormat="1" ht="31.8" thickBot="1">
      <c r="A25" s="533" t="s">
        <v>1016</v>
      </c>
      <c r="B25" s="532">
        <v>5.0000000000000001E-3</v>
      </c>
    </row>
    <row r="26" spans="1:8" s="493" customFormat="1" ht="31.8" thickBot="1">
      <c r="A26" s="533" t="s">
        <v>1015</v>
      </c>
      <c r="B26" s="532">
        <v>0.02</v>
      </c>
    </row>
    <row r="27" spans="1:8" s="493" customFormat="1" ht="16.2" thickBot="1">
      <c r="A27" s="533" t="s">
        <v>144</v>
      </c>
      <c r="B27" s="532">
        <v>3.5000000000000003E-2</v>
      </c>
    </row>
    <row r="28" spans="1:8" s="493" customFormat="1" ht="16.2" thickBot="1">
      <c r="A28" s="494"/>
    </row>
    <row r="29" spans="1:8" s="493" customFormat="1" ht="49.05" customHeight="1" thickBot="1">
      <c r="A29" s="531" t="s">
        <v>374</v>
      </c>
      <c r="B29" s="530" t="s">
        <v>1014</v>
      </c>
      <c r="C29" s="530" t="s">
        <v>1013</v>
      </c>
      <c r="D29" s="530" t="s">
        <v>1012</v>
      </c>
      <c r="E29" s="530" t="s">
        <v>1011</v>
      </c>
      <c r="F29" s="530" t="s">
        <v>810</v>
      </c>
      <c r="G29" s="530" t="s">
        <v>1010</v>
      </c>
      <c r="H29" s="530" t="s">
        <v>1009</v>
      </c>
    </row>
    <row r="30" spans="1:8" s="493" customFormat="1" ht="15" thickBot="1">
      <c r="A30" s="528">
        <v>0</v>
      </c>
      <c r="B30" s="527">
        <v>100000</v>
      </c>
      <c r="C30" s="527">
        <v>100000</v>
      </c>
      <c r="D30" s="525"/>
      <c r="E30" s="525"/>
      <c r="F30" s="529">
        <v>0.9405</v>
      </c>
      <c r="G30" s="527">
        <v>100000</v>
      </c>
      <c r="H30" s="527">
        <v>100000</v>
      </c>
    </row>
    <row r="31" spans="1:8" s="493" customFormat="1" ht="15" thickBot="1">
      <c r="A31" s="528">
        <v>1</v>
      </c>
      <c r="B31" s="527">
        <v>103060</v>
      </c>
      <c r="C31" s="527">
        <v>100500</v>
      </c>
      <c r="D31" s="526">
        <v>0.01</v>
      </c>
      <c r="E31" s="526">
        <v>0.05</v>
      </c>
      <c r="F31" s="529">
        <v>0.88453999999999999</v>
      </c>
      <c r="G31" s="527">
        <v>96928</v>
      </c>
      <c r="H31" s="527">
        <v>94520</v>
      </c>
    </row>
    <row r="32" spans="1:8" s="493" customFormat="1" ht="15" thickBot="1">
      <c r="A32" s="528">
        <v>2</v>
      </c>
      <c r="B32" s="527">
        <v>106214</v>
      </c>
      <c r="C32" s="527">
        <v>101003</v>
      </c>
      <c r="D32" s="526">
        <v>0.01</v>
      </c>
      <c r="E32" s="526">
        <v>0.05</v>
      </c>
      <c r="F32" s="529">
        <v>0.83191000000000004</v>
      </c>
      <c r="G32" s="527">
        <v>93950</v>
      </c>
      <c r="H32" s="527">
        <v>89341</v>
      </c>
    </row>
    <row r="33" spans="1:8" s="493" customFormat="1" ht="15" thickBot="1">
      <c r="A33" s="528">
        <v>3</v>
      </c>
      <c r="B33" s="527">
        <v>109464</v>
      </c>
      <c r="C33" s="527">
        <v>101508</v>
      </c>
      <c r="D33" s="526">
        <v>0.01</v>
      </c>
      <c r="E33" s="526">
        <v>0.05</v>
      </c>
      <c r="F33" s="529">
        <v>0.78241000000000005</v>
      </c>
      <c r="G33" s="527">
        <v>91064</v>
      </c>
      <c r="H33" s="527">
        <v>84445</v>
      </c>
    </row>
    <row r="34" spans="1:8" s="493" customFormat="1" ht="15" thickBot="1">
      <c r="A34" s="528">
        <v>4</v>
      </c>
      <c r="B34" s="527">
        <v>112813</v>
      </c>
      <c r="C34" s="527">
        <v>102015</v>
      </c>
      <c r="D34" s="526">
        <v>0.01</v>
      </c>
      <c r="E34" s="526">
        <v>0.05</v>
      </c>
      <c r="F34" s="529">
        <v>0.73585999999999996</v>
      </c>
      <c r="G34" s="527">
        <v>88266</v>
      </c>
      <c r="H34" s="527">
        <v>79818</v>
      </c>
    </row>
    <row r="35" spans="1:8" s="493" customFormat="1" ht="15" thickBot="1">
      <c r="A35" s="528">
        <v>5</v>
      </c>
      <c r="B35" s="527">
        <v>116265</v>
      </c>
      <c r="C35" s="527">
        <v>102525</v>
      </c>
      <c r="D35" s="526">
        <v>0.01</v>
      </c>
      <c r="E35" s="526">
        <v>0.05</v>
      </c>
      <c r="F35" s="529">
        <v>0.69206999999999996</v>
      </c>
      <c r="G35" s="527">
        <v>85555</v>
      </c>
      <c r="H35" s="527">
        <v>75444</v>
      </c>
    </row>
    <row r="36" spans="1:8" s="493" customFormat="1" ht="15" thickBot="1">
      <c r="A36" s="528">
        <v>6</v>
      </c>
      <c r="B36" s="527">
        <v>119823</v>
      </c>
      <c r="C36" s="527">
        <v>103038</v>
      </c>
      <c r="D36" s="526">
        <v>0.01</v>
      </c>
      <c r="E36" s="526">
        <v>0.05</v>
      </c>
      <c r="F36" s="529">
        <v>0.65090000000000003</v>
      </c>
      <c r="G36" s="527">
        <v>82927</v>
      </c>
      <c r="H36" s="527">
        <v>71310</v>
      </c>
    </row>
    <row r="37" spans="1:8" s="493" customFormat="1" ht="15" thickBot="1">
      <c r="A37" s="528">
        <v>7</v>
      </c>
      <c r="B37" s="527">
        <v>123490</v>
      </c>
      <c r="C37" s="527">
        <v>103553</v>
      </c>
      <c r="D37" s="526">
        <v>0.01</v>
      </c>
      <c r="E37" s="526">
        <v>0.05</v>
      </c>
      <c r="F37" s="529">
        <v>0.61216999999999999</v>
      </c>
      <c r="G37" s="527">
        <v>80379</v>
      </c>
      <c r="H37" s="527">
        <v>67402</v>
      </c>
    </row>
    <row r="38" spans="1:8" s="493" customFormat="1" ht="15" thickBot="1">
      <c r="A38" s="528">
        <v>8</v>
      </c>
      <c r="B38" s="527">
        <v>127269</v>
      </c>
      <c r="C38" s="527">
        <v>104071</v>
      </c>
      <c r="D38" s="526">
        <v>0.01</v>
      </c>
      <c r="E38" s="526">
        <v>0.05</v>
      </c>
      <c r="F38" s="525">
        <v>0.57574000000000003</v>
      </c>
      <c r="G38" s="527">
        <v>77910</v>
      </c>
      <c r="H38" s="527">
        <v>63709</v>
      </c>
    </row>
    <row r="39" spans="1:8" s="493" customFormat="1" ht="15" thickBot="1">
      <c r="A39" s="528">
        <v>9</v>
      </c>
      <c r="B39" s="527">
        <v>131163</v>
      </c>
      <c r="C39" s="527">
        <v>104591</v>
      </c>
      <c r="D39" s="526">
        <v>0.01</v>
      </c>
      <c r="E39" s="526">
        <v>0.05</v>
      </c>
      <c r="F39" s="525">
        <v>0</v>
      </c>
      <c r="G39" s="527">
        <v>75516</v>
      </c>
      <c r="H39" s="527">
        <v>60218</v>
      </c>
    </row>
    <row r="40" spans="1:8" s="493" customFormat="1" ht="15" thickBot="1">
      <c r="A40" s="528">
        <v>10</v>
      </c>
      <c r="B40" s="527">
        <v>135177</v>
      </c>
      <c r="C40" s="527">
        <v>105114</v>
      </c>
      <c r="D40" s="526">
        <v>0.01</v>
      </c>
      <c r="E40" s="526">
        <v>1</v>
      </c>
      <c r="F40" s="525"/>
      <c r="G40" s="525">
        <v>0</v>
      </c>
      <c r="H40" s="525">
        <v>0</v>
      </c>
    </row>
    <row r="41" spans="1:8" s="493" customFormat="1" ht="15.6">
      <c r="A41" s="494"/>
    </row>
    <row r="42" spans="1:8" s="493" customFormat="1" ht="15.6">
      <c r="A42" s="494" t="s">
        <v>1008</v>
      </c>
    </row>
    <row r="43" spans="1:8" ht="15.6">
      <c r="A43" s="524" t="s">
        <v>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0C45C-E900-4D14-BA12-DD634B904BCF}">
  <sheetPr>
    <tabColor theme="3"/>
  </sheetPr>
  <dimension ref="A1"/>
  <sheetViews>
    <sheetView workbookViewId="0">
      <selection activeCell="J8" sqref="J8"/>
    </sheetView>
  </sheetViews>
  <sheetFormatPr defaultRowHeight="13.2"/>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A4228-B7CE-4900-B9E2-9DFFE2AAC24A}">
  <dimension ref="A1:A82"/>
  <sheetViews>
    <sheetView topLeftCell="A6" workbookViewId="0"/>
  </sheetViews>
  <sheetFormatPr defaultColWidth="9.21875" defaultRowHeight="14.4"/>
  <cols>
    <col min="1" max="16384" width="9.21875" style="448"/>
  </cols>
  <sheetData>
    <row r="1" spans="1:1" s="493" customFormat="1" ht="17.399999999999999">
      <c r="A1" s="523" t="s">
        <v>1053</v>
      </c>
    </row>
    <row r="2" spans="1:1" s="493" customFormat="1" ht="15.6">
      <c r="A2" s="522" t="s">
        <v>1052</v>
      </c>
    </row>
    <row r="3" spans="1:1" s="493" customFormat="1"/>
    <row r="4" spans="1:1" s="493" customFormat="1" ht="15.6">
      <c r="A4" s="494" t="s">
        <v>1051</v>
      </c>
    </row>
    <row r="5" spans="1:1" s="493" customFormat="1" ht="15.6">
      <c r="A5" s="494"/>
    </row>
    <row r="6" spans="1:1" s="493" customFormat="1" ht="15.6">
      <c r="A6" s="494" t="s">
        <v>339</v>
      </c>
    </row>
    <row r="7" spans="1:1" s="493" customFormat="1" ht="15.6">
      <c r="A7" s="494"/>
    </row>
    <row r="8" spans="1:1" s="493" customFormat="1" ht="15.6">
      <c r="A8" s="521" t="s">
        <v>1050</v>
      </c>
    </row>
    <row r="9" spans="1:1" s="493" customFormat="1" ht="15.6">
      <c r="A9" s="521" t="s">
        <v>1049</v>
      </c>
    </row>
    <row r="10" spans="1:1" s="493" customFormat="1" ht="15.6">
      <c r="A10" s="521" t="s">
        <v>1048</v>
      </c>
    </row>
    <row r="11" spans="1:1" s="493" customFormat="1" ht="15.6">
      <c r="A11" s="521" t="s">
        <v>1047</v>
      </c>
    </row>
    <row r="12" spans="1:1" s="493" customFormat="1" ht="15.6">
      <c r="A12" s="521" t="s">
        <v>1046</v>
      </c>
    </row>
    <row r="13" spans="1:1" s="493" customFormat="1" ht="15.6">
      <c r="A13" s="521" t="s">
        <v>1045</v>
      </c>
    </row>
    <row r="14" spans="1:1" s="493" customFormat="1" ht="15.6">
      <c r="A14" s="521" t="s">
        <v>1044</v>
      </c>
    </row>
    <row r="15" spans="1:1" s="493" customFormat="1" ht="15.6">
      <c r="A15" s="521" t="s">
        <v>1043</v>
      </c>
    </row>
    <row r="16" spans="1:1" s="493" customFormat="1" ht="15.6">
      <c r="A16" s="521" t="s">
        <v>1042</v>
      </c>
    </row>
    <row r="17" spans="1:1" s="493" customFormat="1" ht="15.6">
      <c r="A17" s="541" t="s">
        <v>1041</v>
      </c>
    </row>
    <row r="18" spans="1:1" s="493" customFormat="1" ht="15.6">
      <c r="A18" s="541" t="s">
        <v>1040</v>
      </c>
    </row>
    <row r="19" spans="1:1" s="493" customFormat="1" ht="15.6">
      <c r="A19" s="521" t="s">
        <v>1039</v>
      </c>
    </row>
    <row r="20" spans="1:1" s="493" customFormat="1" ht="15.6">
      <c r="A20" s="521" t="s">
        <v>1038</v>
      </c>
    </row>
    <row r="21" spans="1:1" s="493" customFormat="1" ht="15.6">
      <c r="A21" s="521" t="s">
        <v>1037</v>
      </c>
    </row>
    <row r="22" spans="1:1" s="493" customFormat="1" ht="15.6">
      <c r="A22" s="494"/>
    </row>
    <row r="23" spans="1:1" s="493" customFormat="1" ht="15.6">
      <c r="A23" s="494"/>
    </row>
    <row r="24" spans="1:1" s="493" customFormat="1" ht="15.6">
      <c r="A24" s="494" t="s">
        <v>1036</v>
      </c>
    </row>
    <row r="25" spans="1:1" ht="15.6">
      <c r="A25" s="492" t="s">
        <v>24</v>
      </c>
    </row>
    <row r="50" spans="1:1" s="493" customFormat="1" ht="15.6">
      <c r="A50" s="494" t="s">
        <v>1035</v>
      </c>
    </row>
    <row r="51" spans="1:1" ht="15.6">
      <c r="A51" s="492" t="s">
        <v>24</v>
      </c>
    </row>
    <row r="72" spans="1:1" s="493" customFormat="1" ht="15.6">
      <c r="A72" s="494" t="s">
        <v>1034</v>
      </c>
    </row>
    <row r="73" spans="1:1" s="493" customFormat="1" ht="15.6">
      <c r="A73" s="536"/>
    </row>
    <row r="74" spans="1:1" s="493" customFormat="1" ht="15.6">
      <c r="A74" s="540" t="s">
        <v>1033</v>
      </c>
    </row>
    <row r="75" spans="1:1" s="493" customFormat="1" ht="15.6">
      <c r="A75" s="540" t="s">
        <v>1032</v>
      </c>
    </row>
    <row r="76" spans="1:1" s="493" customFormat="1" ht="15.6">
      <c r="A76" s="540" t="s">
        <v>1031</v>
      </c>
    </row>
    <row r="77" spans="1:1" s="493" customFormat="1" ht="15.6">
      <c r="A77" s="540" t="s">
        <v>1030</v>
      </c>
    </row>
    <row r="78" spans="1:1" s="493" customFormat="1" ht="15.6">
      <c r="A78" s="539"/>
    </row>
    <row r="79" spans="1:1" s="493" customFormat="1" ht="15.6">
      <c r="A79" s="539" t="s">
        <v>1029</v>
      </c>
    </row>
    <row r="80" spans="1:1" s="493" customFormat="1" ht="15.6">
      <c r="A80" s="494"/>
    </row>
    <row r="81" spans="1:1" s="493" customFormat="1" ht="15.6">
      <c r="A81" s="494" t="s">
        <v>889</v>
      </c>
    </row>
    <row r="82" spans="1:1" ht="15.6">
      <c r="A82" s="492" t="s">
        <v>24</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0D09F-A695-4D07-8ECF-9790F993F6A7}">
  <sheetPr>
    <tabColor theme="5" tint="0.79998168889431442"/>
  </sheetPr>
  <dimension ref="B1:U61"/>
  <sheetViews>
    <sheetView workbookViewId="0">
      <selection activeCell="D9" sqref="D9"/>
    </sheetView>
  </sheetViews>
  <sheetFormatPr defaultColWidth="9" defaultRowHeight="13.8"/>
  <cols>
    <col min="1" max="1" width="3.21875" style="570" customWidth="1"/>
    <col min="2" max="4" width="8.44140625" style="570" customWidth="1"/>
    <col min="5" max="5" width="17" style="570" customWidth="1"/>
    <col min="6" max="6" width="12.44140625" style="570" bestFit="1" customWidth="1"/>
    <col min="7" max="7" width="13.44140625" style="570" customWidth="1"/>
    <col min="8" max="8" width="12" style="570" customWidth="1"/>
    <col min="9" max="9" width="15" style="574" customWidth="1"/>
    <col min="10" max="10" width="17" style="570" customWidth="1"/>
    <col min="11" max="11" width="9" style="570"/>
    <col min="12" max="12" width="15.44140625" style="570" customWidth="1"/>
    <col min="13" max="13" width="21" style="573" bestFit="1" customWidth="1"/>
    <col min="14" max="14" width="18" style="573" bestFit="1" customWidth="1"/>
    <col min="15" max="15" width="11.44140625" style="572" bestFit="1" customWidth="1"/>
    <col min="16" max="17" width="10" style="572" bestFit="1" customWidth="1"/>
    <col min="18" max="18" width="3.44140625" style="570" customWidth="1"/>
    <col min="19" max="19" width="9.77734375" style="570" bestFit="1" customWidth="1"/>
    <col min="20" max="20" width="11.44140625" style="570" bestFit="1" customWidth="1"/>
    <col min="21" max="21" width="11.44140625" style="571" bestFit="1" customWidth="1"/>
    <col min="22" max="16384" width="9" style="570"/>
  </cols>
  <sheetData>
    <row r="1" spans="2:21">
      <c r="F1" s="623"/>
      <c r="I1" s="621"/>
      <c r="N1" s="622"/>
      <c r="O1" s="619"/>
      <c r="P1" s="619"/>
      <c r="Q1" s="619"/>
      <c r="U1" s="588"/>
    </row>
    <row r="2" spans="2:21">
      <c r="I2" s="621"/>
      <c r="J2" s="620"/>
      <c r="L2" s="570" t="s">
        <v>1171</v>
      </c>
      <c r="M2" s="619">
        <v>1000000</v>
      </c>
      <c r="O2" s="619"/>
      <c r="P2" s="619"/>
      <c r="Q2" s="619"/>
      <c r="U2" s="588"/>
    </row>
    <row r="3" spans="2:21" ht="41.4">
      <c r="B3" s="612" t="s">
        <v>1170</v>
      </c>
      <c r="C3" s="612" t="s">
        <v>890</v>
      </c>
      <c r="D3" s="612" t="s">
        <v>652</v>
      </c>
      <c r="E3" s="608" t="s">
        <v>1169</v>
      </c>
      <c r="F3" s="609" t="s">
        <v>809</v>
      </c>
      <c r="G3" s="608" t="s">
        <v>1168</v>
      </c>
      <c r="H3" s="608" t="s">
        <v>1167</v>
      </c>
      <c r="I3" s="610" t="s">
        <v>1166</v>
      </c>
      <c r="J3" s="608" t="s">
        <v>1165</v>
      </c>
      <c r="K3" s="609" t="s">
        <v>1164</v>
      </c>
      <c r="L3" s="608" t="s">
        <v>1163</v>
      </c>
      <c r="M3" s="618" t="s">
        <v>1162</v>
      </c>
      <c r="N3" s="617"/>
      <c r="O3" s="616"/>
      <c r="P3" s="616"/>
      <c r="Q3" s="615"/>
      <c r="S3" s="614"/>
      <c r="T3" s="614"/>
      <c r="U3" s="613"/>
    </row>
    <row r="4" spans="2:21">
      <c r="B4" s="612"/>
      <c r="C4" s="612"/>
      <c r="D4" s="612"/>
      <c r="E4" s="608"/>
      <c r="F4" s="609"/>
      <c r="G4" s="611"/>
      <c r="H4" s="608"/>
      <c r="I4" s="610"/>
      <c r="J4" s="608"/>
      <c r="K4" s="609"/>
      <c r="L4" s="608"/>
      <c r="M4" s="590">
        <f t="shared" ref="M4:M32" si="0">IFERROR(SUMPRODUCT(J5:J60,L6:L61)/L5,0)</f>
        <v>912940.58299721137</v>
      </c>
      <c r="N4" s="607"/>
      <c r="Q4" s="579"/>
      <c r="R4" s="601"/>
      <c r="S4" s="588"/>
      <c r="T4" s="588"/>
      <c r="U4" s="603"/>
    </row>
    <row r="5" spans="2:21">
      <c r="B5" s="600">
        <v>2023</v>
      </c>
      <c r="C5" s="599">
        <v>1</v>
      </c>
      <c r="D5" s="599">
        <v>65</v>
      </c>
      <c r="E5" s="598">
        <v>1000</v>
      </c>
      <c r="F5" s="597">
        <v>0.2</v>
      </c>
      <c r="G5" s="596">
        <f t="shared" ref="G5:G32" si="1">ROUND(E5*F5,0)</f>
        <v>200</v>
      </c>
      <c r="H5" s="595">
        <f t="shared" ref="H5:H32" si="2">E6</f>
        <v>800</v>
      </c>
      <c r="I5" s="594">
        <v>110</v>
      </c>
      <c r="J5" s="593">
        <f t="shared" ref="J5:J32" si="3">IF(C5&lt;=10,I5*$E$5,I5*E5)</f>
        <v>110000</v>
      </c>
      <c r="K5" s="592">
        <v>4.2500000000000003E-2</v>
      </c>
      <c r="L5" s="606">
        <v>1</v>
      </c>
      <c r="M5" s="590">
        <f t="shared" si="0"/>
        <v>841740.55777459289</v>
      </c>
      <c r="N5" s="589"/>
      <c r="Q5" s="579"/>
      <c r="R5" s="601"/>
      <c r="S5" s="588"/>
      <c r="T5" s="588"/>
      <c r="U5" s="603"/>
    </row>
    <row r="6" spans="2:21">
      <c r="B6" s="600">
        <v>2024</v>
      </c>
      <c r="C6" s="599">
        <v>2</v>
      </c>
      <c r="D6" s="599">
        <v>66</v>
      </c>
      <c r="E6" s="598">
        <f>E5-G5</f>
        <v>800</v>
      </c>
      <c r="F6" s="597">
        <v>0.2</v>
      </c>
      <c r="G6" s="596">
        <f t="shared" si="1"/>
        <v>160</v>
      </c>
      <c r="H6" s="595">
        <f t="shared" si="2"/>
        <v>640</v>
      </c>
      <c r="I6" s="594">
        <v>110</v>
      </c>
      <c r="J6" s="593">
        <f t="shared" si="3"/>
        <v>110000</v>
      </c>
      <c r="K6" s="592">
        <v>4.2500000000000003E-2</v>
      </c>
      <c r="L6" s="591">
        <f t="shared" ref="L6:L33" si="4">L5/(1+K5)</f>
        <v>0.95923261390887293</v>
      </c>
      <c r="M6" s="590">
        <f t="shared" si="0"/>
        <v>767514.53148001316</v>
      </c>
      <c r="N6" s="589"/>
      <c r="Q6" s="579"/>
      <c r="R6" s="601"/>
      <c r="S6" s="588"/>
      <c r="T6" s="588"/>
      <c r="U6" s="603"/>
    </row>
    <row r="7" spans="2:21">
      <c r="B7" s="600">
        <v>2025</v>
      </c>
      <c r="C7" s="599">
        <v>3</v>
      </c>
      <c r="D7" s="599">
        <v>67</v>
      </c>
      <c r="E7" s="598">
        <f t="shared" ref="E7:E32" si="5">ROUND(E6-G6,0)</f>
        <v>640</v>
      </c>
      <c r="F7" s="597">
        <v>0.2</v>
      </c>
      <c r="G7" s="596">
        <f t="shared" si="1"/>
        <v>128</v>
      </c>
      <c r="H7" s="595">
        <f t="shared" si="2"/>
        <v>512</v>
      </c>
      <c r="I7" s="594">
        <v>110</v>
      </c>
      <c r="J7" s="593">
        <f t="shared" si="3"/>
        <v>110000</v>
      </c>
      <c r="K7" s="592">
        <v>4.2500000000000003E-2</v>
      </c>
      <c r="L7" s="591">
        <f t="shared" si="4"/>
        <v>0.92012720758644884</v>
      </c>
      <c r="M7" s="605">
        <f t="shared" si="0"/>
        <v>690133.89906791365</v>
      </c>
      <c r="N7" s="604" t="s">
        <v>1161</v>
      </c>
      <c r="Q7" s="579"/>
      <c r="R7" s="601"/>
      <c r="S7" s="588"/>
      <c r="T7" s="588"/>
      <c r="U7" s="603"/>
    </row>
    <row r="8" spans="2:21">
      <c r="B8" s="600">
        <v>2026</v>
      </c>
      <c r="C8" s="599">
        <v>4</v>
      </c>
      <c r="D8" s="599">
        <v>68</v>
      </c>
      <c r="E8" s="598">
        <f t="shared" si="5"/>
        <v>512</v>
      </c>
      <c r="F8" s="597">
        <v>0.2</v>
      </c>
      <c r="G8" s="596">
        <f t="shared" si="1"/>
        <v>102</v>
      </c>
      <c r="H8" s="595">
        <f t="shared" si="2"/>
        <v>410</v>
      </c>
      <c r="I8" s="594">
        <v>110</v>
      </c>
      <c r="J8" s="593">
        <f t="shared" si="3"/>
        <v>110000</v>
      </c>
      <c r="K8" s="592">
        <v>4.2500000000000003E-2</v>
      </c>
      <c r="L8" s="591">
        <f t="shared" si="4"/>
        <v>0.88261602646182147</v>
      </c>
      <c r="M8" s="590">
        <f t="shared" si="0"/>
        <v>609464.58977829979</v>
      </c>
      <c r="N8" s="589"/>
      <c r="Q8" s="579"/>
      <c r="R8" s="601"/>
      <c r="S8" s="588"/>
      <c r="T8" s="588"/>
      <c r="U8" s="603"/>
    </row>
    <row r="9" spans="2:21">
      <c r="B9" s="600">
        <v>2027</v>
      </c>
      <c r="C9" s="599">
        <v>5</v>
      </c>
      <c r="D9" s="599">
        <v>69</v>
      </c>
      <c r="E9" s="598">
        <f t="shared" si="5"/>
        <v>410</v>
      </c>
      <c r="F9" s="597">
        <v>0.2</v>
      </c>
      <c r="G9" s="596">
        <f t="shared" si="1"/>
        <v>82</v>
      </c>
      <c r="H9" s="595">
        <f t="shared" si="2"/>
        <v>328</v>
      </c>
      <c r="I9" s="594">
        <v>110</v>
      </c>
      <c r="J9" s="593">
        <f t="shared" si="3"/>
        <v>110000</v>
      </c>
      <c r="K9" s="592">
        <v>4.2500000000000003E-2</v>
      </c>
      <c r="L9" s="591">
        <f t="shared" si="4"/>
        <v>0.84663407814083591</v>
      </c>
      <c r="M9" s="590">
        <f t="shared" si="0"/>
        <v>525366.83484387759</v>
      </c>
      <c r="N9" s="589"/>
      <c r="Q9" s="579"/>
      <c r="R9" s="601"/>
      <c r="S9" s="588"/>
      <c r="T9" s="588"/>
      <c r="U9" s="603"/>
    </row>
    <row r="10" spans="2:21">
      <c r="B10" s="600">
        <v>2028</v>
      </c>
      <c r="C10" s="599">
        <v>6</v>
      </c>
      <c r="D10" s="599">
        <v>70</v>
      </c>
      <c r="E10" s="598">
        <f t="shared" si="5"/>
        <v>328</v>
      </c>
      <c r="F10" s="597">
        <v>0.2</v>
      </c>
      <c r="G10" s="596">
        <f t="shared" si="1"/>
        <v>66</v>
      </c>
      <c r="H10" s="595">
        <f t="shared" si="2"/>
        <v>262</v>
      </c>
      <c r="I10" s="594">
        <v>110</v>
      </c>
      <c r="J10" s="593">
        <f t="shared" si="3"/>
        <v>110000</v>
      </c>
      <c r="K10" s="592">
        <v>4.2500000000000003E-2</v>
      </c>
      <c r="L10" s="591">
        <f t="shared" si="4"/>
        <v>0.81211901979936296</v>
      </c>
      <c r="M10" s="590">
        <f t="shared" si="0"/>
        <v>437694.92532474239</v>
      </c>
      <c r="N10" s="589"/>
      <c r="Q10" s="579"/>
      <c r="R10" s="601"/>
      <c r="S10" s="588"/>
      <c r="T10" s="588"/>
      <c r="U10" s="603"/>
    </row>
    <row r="11" spans="2:21">
      <c r="B11" s="600">
        <v>2029</v>
      </c>
      <c r="C11" s="599">
        <v>7</v>
      </c>
      <c r="D11" s="599">
        <v>71</v>
      </c>
      <c r="E11" s="598">
        <f t="shared" si="5"/>
        <v>262</v>
      </c>
      <c r="F11" s="597">
        <v>0.2</v>
      </c>
      <c r="G11" s="596">
        <f t="shared" si="1"/>
        <v>52</v>
      </c>
      <c r="H11" s="595">
        <f t="shared" si="2"/>
        <v>210</v>
      </c>
      <c r="I11" s="594">
        <v>110</v>
      </c>
      <c r="J11" s="593">
        <f t="shared" si="3"/>
        <v>110000</v>
      </c>
      <c r="K11" s="592">
        <v>4.2500000000000003E-2</v>
      </c>
      <c r="L11" s="591">
        <f t="shared" si="4"/>
        <v>0.77901105016725469</v>
      </c>
      <c r="M11" s="590">
        <f t="shared" si="0"/>
        <v>346296.95965104393</v>
      </c>
      <c r="N11" s="589"/>
      <c r="Q11" s="579"/>
      <c r="R11" s="601"/>
      <c r="S11" s="588"/>
      <c r="T11" s="588"/>
      <c r="U11" s="603"/>
    </row>
    <row r="12" spans="2:21">
      <c r="B12" s="600">
        <v>2030</v>
      </c>
      <c r="C12" s="599">
        <v>8</v>
      </c>
      <c r="D12" s="599">
        <v>72</v>
      </c>
      <c r="E12" s="598">
        <f t="shared" si="5"/>
        <v>210</v>
      </c>
      <c r="F12" s="597">
        <v>0.2</v>
      </c>
      <c r="G12" s="596">
        <f t="shared" si="1"/>
        <v>42</v>
      </c>
      <c r="H12" s="595">
        <f t="shared" si="2"/>
        <v>168</v>
      </c>
      <c r="I12" s="594">
        <v>110</v>
      </c>
      <c r="J12" s="593">
        <f t="shared" si="3"/>
        <v>110000</v>
      </c>
      <c r="K12" s="592">
        <v>4.2500000000000003E-2</v>
      </c>
      <c r="L12" s="591">
        <f t="shared" si="4"/>
        <v>0.74725280591583187</v>
      </c>
      <c r="M12" s="590">
        <f t="shared" si="0"/>
        <v>251014.58043621332</v>
      </c>
      <c r="N12" s="589"/>
      <c r="Q12" s="579"/>
      <c r="R12" s="601"/>
      <c r="S12" s="588"/>
      <c r="T12" s="588"/>
      <c r="U12" s="603"/>
    </row>
    <row r="13" spans="2:21">
      <c r="B13" s="600">
        <v>2031</v>
      </c>
      <c r="C13" s="599">
        <v>9</v>
      </c>
      <c r="D13" s="599">
        <v>73</v>
      </c>
      <c r="E13" s="598">
        <f t="shared" si="5"/>
        <v>168</v>
      </c>
      <c r="F13" s="597">
        <v>0.2</v>
      </c>
      <c r="G13" s="596">
        <f t="shared" si="1"/>
        <v>34</v>
      </c>
      <c r="H13" s="595">
        <f t="shared" si="2"/>
        <v>134</v>
      </c>
      <c r="I13" s="594">
        <v>110</v>
      </c>
      <c r="J13" s="593">
        <f t="shared" si="3"/>
        <v>110000</v>
      </c>
      <c r="K13" s="592">
        <v>4.2500000000000003E-2</v>
      </c>
      <c r="L13" s="591">
        <f t="shared" si="4"/>
        <v>0.71678926226938311</v>
      </c>
      <c r="M13" s="590">
        <f t="shared" si="0"/>
        <v>151682.70010475232</v>
      </c>
      <c r="N13" s="589"/>
      <c r="Q13" s="579"/>
      <c r="R13" s="601"/>
      <c r="S13" s="588"/>
      <c r="T13" s="588"/>
      <c r="U13" s="603"/>
    </row>
    <row r="14" spans="2:21">
      <c r="B14" s="600">
        <v>2032</v>
      </c>
      <c r="C14" s="599">
        <v>10</v>
      </c>
      <c r="D14" s="599">
        <v>74</v>
      </c>
      <c r="E14" s="598">
        <f t="shared" si="5"/>
        <v>134</v>
      </c>
      <c r="F14" s="597">
        <v>0.2</v>
      </c>
      <c r="G14" s="596">
        <f t="shared" si="1"/>
        <v>27</v>
      </c>
      <c r="H14" s="595">
        <f t="shared" si="2"/>
        <v>107</v>
      </c>
      <c r="I14" s="594">
        <v>110</v>
      </c>
      <c r="J14" s="593">
        <f t="shared" si="3"/>
        <v>110000</v>
      </c>
      <c r="K14" s="592">
        <v>4.2500000000000003E-2</v>
      </c>
      <c r="L14" s="591">
        <f t="shared" si="4"/>
        <v>0.68756763766847306</v>
      </c>
      <c r="M14" s="590">
        <f t="shared" si="0"/>
        <v>48129.214859204316</v>
      </c>
      <c r="N14" s="589"/>
      <c r="Q14" s="579"/>
      <c r="R14" s="601"/>
      <c r="S14" s="571"/>
      <c r="T14" s="571"/>
      <c r="U14" s="602"/>
    </row>
    <row r="15" spans="2:21">
      <c r="B15" s="600">
        <v>2033</v>
      </c>
      <c r="C15" s="599">
        <v>11</v>
      </c>
      <c r="D15" s="599">
        <v>75</v>
      </c>
      <c r="E15" s="598">
        <f t="shared" si="5"/>
        <v>107</v>
      </c>
      <c r="F15" s="597">
        <v>0.2</v>
      </c>
      <c r="G15" s="596">
        <f t="shared" si="1"/>
        <v>21</v>
      </c>
      <c r="H15" s="595">
        <f t="shared" si="2"/>
        <v>86</v>
      </c>
      <c r="I15" s="594">
        <v>110</v>
      </c>
      <c r="J15" s="593">
        <f t="shared" si="3"/>
        <v>11770</v>
      </c>
      <c r="K15" s="592">
        <v>4.2500000000000003E-2</v>
      </c>
      <c r="L15" s="591">
        <f t="shared" si="4"/>
        <v>0.65953730231987828</v>
      </c>
      <c r="M15" s="590">
        <f t="shared" si="0"/>
        <v>38404.706490720499</v>
      </c>
      <c r="N15" s="589"/>
      <c r="Q15" s="579"/>
      <c r="R15" s="601"/>
      <c r="U15" s="588"/>
    </row>
    <row r="16" spans="2:21">
      <c r="B16" s="600">
        <v>2034</v>
      </c>
      <c r="C16" s="599">
        <v>12</v>
      </c>
      <c r="D16" s="599">
        <v>76</v>
      </c>
      <c r="E16" s="598">
        <f t="shared" si="5"/>
        <v>86</v>
      </c>
      <c r="F16" s="597">
        <v>0.2</v>
      </c>
      <c r="G16" s="596">
        <f t="shared" si="1"/>
        <v>17</v>
      </c>
      <c r="H16" s="595">
        <f t="shared" si="2"/>
        <v>69</v>
      </c>
      <c r="I16" s="594">
        <v>110</v>
      </c>
      <c r="J16" s="593">
        <f t="shared" si="3"/>
        <v>9460</v>
      </c>
      <c r="K16" s="592">
        <v>4.2500000000000003E-2</v>
      </c>
      <c r="L16" s="591">
        <f t="shared" si="4"/>
        <v>0.63264969047470343</v>
      </c>
      <c r="M16" s="590">
        <f t="shared" si="0"/>
        <v>30576.906516576124</v>
      </c>
      <c r="N16" s="589"/>
      <c r="Q16" s="579"/>
      <c r="R16" s="601"/>
      <c r="U16" s="588"/>
    </row>
    <row r="17" spans="2:21">
      <c r="B17" s="600">
        <v>2035</v>
      </c>
      <c r="C17" s="599">
        <v>13</v>
      </c>
      <c r="D17" s="599">
        <v>77</v>
      </c>
      <c r="E17" s="598">
        <f t="shared" si="5"/>
        <v>69</v>
      </c>
      <c r="F17" s="597">
        <v>0.2</v>
      </c>
      <c r="G17" s="596">
        <f t="shared" si="1"/>
        <v>14</v>
      </c>
      <c r="H17" s="595">
        <f t="shared" si="2"/>
        <v>55</v>
      </c>
      <c r="I17" s="594">
        <v>110</v>
      </c>
      <c r="J17" s="593">
        <f t="shared" si="3"/>
        <v>7590</v>
      </c>
      <c r="K17" s="592">
        <v>4.2500000000000003E-2</v>
      </c>
      <c r="L17" s="591">
        <f t="shared" si="4"/>
        <v>0.6068582162826891</v>
      </c>
      <c r="M17" s="590">
        <f t="shared" si="0"/>
        <v>24286.425043530609</v>
      </c>
      <c r="N17" s="589"/>
      <c r="Q17" s="579"/>
      <c r="R17" s="601"/>
      <c r="U17" s="588"/>
    </row>
    <row r="18" spans="2:21">
      <c r="B18" s="600">
        <v>2036</v>
      </c>
      <c r="C18" s="599">
        <v>14</v>
      </c>
      <c r="D18" s="599">
        <v>78</v>
      </c>
      <c r="E18" s="598">
        <f t="shared" si="5"/>
        <v>55</v>
      </c>
      <c r="F18" s="597">
        <v>0.2</v>
      </c>
      <c r="G18" s="596">
        <f t="shared" si="1"/>
        <v>11</v>
      </c>
      <c r="H18" s="595">
        <f t="shared" si="2"/>
        <v>44</v>
      </c>
      <c r="I18" s="594">
        <v>110</v>
      </c>
      <c r="J18" s="593">
        <f t="shared" si="3"/>
        <v>6050</v>
      </c>
      <c r="K18" s="592">
        <v>4.2500000000000003E-2</v>
      </c>
      <c r="L18" s="591">
        <f t="shared" si="4"/>
        <v>0.58211819307692003</v>
      </c>
      <c r="M18" s="590">
        <f t="shared" si="0"/>
        <v>19268.598107880665</v>
      </c>
      <c r="N18" s="589"/>
      <c r="Q18" s="579"/>
      <c r="R18" s="601"/>
      <c r="U18" s="588"/>
    </row>
    <row r="19" spans="2:21">
      <c r="B19" s="600">
        <v>2037</v>
      </c>
      <c r="C19" s="599">
        <v>15</v>
      </c>
      <c r="D19" s="599">
        <v>79</v>
      </c>
      <c r="E19" s="598">
        <f t="shared" si="5"/>
        <v>44</v>
      </c>
      <c r="F19" s="597">
        <v>0.2</v>
      </c>
      <c r="G19" s="596">
        <f t="shared" si="1"/>
        <v>9</v>
      </c>
      <c r="H19" s="595">
        <f t="shared" si="2"/>
        <v>35</v>
      </c>
      <c r="I19" s="594">
        <v>110</v>
      </c>
      <c r="J19" s="593">
        <f t="shared" si="3"/>
        <v>4840</v>
      </c>
      <c r="K19" s="592">
        <v>4.2500000000000003E-2</v>
      </c>
      <c r="L19" s="591">
        <f t="shared" si="4"/>
        <v>0.55838675594908393</v>
      </c>
      <c r="M19" s="590">
        <f t="shared" si="0"/>
        <v>15247.513527465586</v>
      </c>
      <c r="N19" s="589"/>
      <c r="Q19" s="579"/>
      <c r="R19" s="601"/>
      <c r="U19" s="588"/>
    </row>
    <row r="20" spans="2:21">
      <c r="B20" s="600">
        <v>2038</v>
      </c>
      <c r="C20" s="599">
        <v>16</v>
      </c>
      <c r="D20" s="599">
        <v>80</v>
      </c>
      <c r="E20" s="598">
        <f t="shared" si="5"/>
        <v>35</v>
      </c>
      <c r="F20" s="597">
        <v>0.2</v>
      </c>
      <c r="G20" s="596">
        <f t="shared" si="1"/>
        <v>7</v>
      </c>
      <c r="H20" s="595">
        <f t="shared" si="2"/>
        <v>28</v>
      </c>
      <c r="I20" s="594">
        <v>110</v>
      </c>
      <c r="J20" s="593">
        <f t="shared" si="3"/>
        <v>3850</v>
      </c>
      <c r="K20" s="592">
        <v>4.2500000000000003E-2</v>
      </c>
      <c r="L20" s="591">
        <f t="shared" si="4"/>
        <v>0.53562278748113568</v>
      </c>
      <c r="M20" s="590">
        <f t="shared" si="0"/>
        <v>12045.532852382872</v>
      </c>
      <c r="N20" s="589"/>
      <c r="Q20" s="579"/>
      <c r="R20" s="601"/>
      <c r="U20" s="588"/>
    </row>
    <row r="21" spans="2:21">
      <c r="B21" s="600">
        <v>2039</v>
      </c>
      <c r="C21" s="599">
        <v>17</v>
      </c>
      <c r="D21" s="599">
        <v>81</v>
      </c>
      <c r="E21" s="598">
        <f t="shared" si="5"/>
        <v>28</v>
      </c>
      <c r="F21" s="597">
        <v>0.2</v>
      </c>
      <c r="G21" s="596">
        <f t="shared" si="1"/>
        <v>6</v>
      </c>
      <c r="H21" s="595">
        <f t="shared" si="2"/>
        <v>22</v>
      </c>
      <c r="I21" s="594">
        <v>110</v>
      </c>
      <c r="J21" s="593">
        <f t="shared" si="3"/>
        <v>3080</v>
      </c>
      <c r="K21" s="592">
        <v>4.2500000000000003E-2</v>
      </c>
      <c r="L21" s="591">
        <f t="shared" si="4"/>
        <v>0.51378684650468653</v>
      </c>
      <c r="M21" s="590">
        <f t="shared" si="0"/>
        <v>9477.4679986091433</v>
      </c>
      <c r="N21" s="589"/>
      <c r="Q21" s="579"/>
      <c r="R21" s="601"/>
      <c r="U21" s="588"/>
    </row>
    <row r="22" spans="2:21">
      <c r="B22" s="600">
        <v>2040</v>
      </c>
      <c r="C22" s="599">
        <v>18</v>
      </c>
      <c r="D22" s="599">
        <v>82</v>
      </c>
      <c r="E22" s="598">
        <f t="shared" si="5"/>
        <v>22</v>
      </c>
      <c r="F22" s="597">
        <v>0.2</v>
      </c>
      <c r="G22" s="596">
        <f t="shared" si="1"/>
        <v>4</v>
      </c>
      <c r="H22" s="595">
        <f t="shared" si="2"/>
        <v>18</v>
      </c>
      <c r="I22" s="594">
        <v>110</v>
      </c>
      <c r="J22" s="593">
        <f t="shared" si="3"/>
        <v>2420</v>
      </c>
      <c r="K22" s="592">
        <v>4.2500000000000003E-2</v>
      </c>
      <c r="L22" s="591">
        <f t="shared" si="4"/>
        <v>0.49284109976468732</v>
      </c>
      <c r="M22" s="590">
        <f t="shared" si="0"/>
        <v>7460.2603885500348</v>
      </c>
      <c r="N22" s="589"/>
      <c r="Q22" s="579"/>
      <c r="U22" s="588"/>
    </row>
    <row r="23" spans="2:21">
      <c r="B23" s="600">
        <v>2041</v>
      </c>
      <c r="C23" s="599">
        <v>19</v>
      </c>
      <c r="D23" s="599">
        <v>83</v>
      </c>
      <c r="E23" s="598">
        <f t="shared" si="5"/>
        <v>18</v>
      </c>
      <c r="F23" s="597">
        <v>0.2</v>
      </c>
      <c r="G23" s="596">
        <f t="shared" si="1"/>
        <v>4</v>
      </c>
      <c r="H23" s="595">
        <f t="shared" si="2"/>
        <v>14</v>
      </c>
      <c r="I23" s="594">
        <v>110</v>
      </c>
      <c r="J23" s="593">
        <f t="shared" si="3"/>
        <v>1980</v>
      </c>
      <c r="K23" s="592">
        <v>4.2500000000000003E-2</v>
      </c>
      <c r="L23" s="591">
        <f t="shared" si="4"/>
        <v>0.47274925636900461</v>
      </c>
      <c r="M23" s="590">
        <f t="shared" si="0"/>
        <v>5797.3214550634111</v>
      </c>
      <c r="N23" s="589"/>
      <c r="Q23" s="579"/>
      <c r="U23" s="588"/>
    </row>
    <row r="24" spans="2:21">
      <c r="B24" s="600">
        <v>2042</v>
      </c>
      <c r="C24" s="599">
        <v>20</v>
      </c>
      <c r="D24" s="599">
        <v>84</v>
      </c>
      <c r="E24" s="598">
        <f t="shared" si="5"/>
        <v>14</v>
      </c>
      <c r="F24" s="597">
        <v>0.2</v>
      </c>
      <c r="G24" s="596">
        <f t="shared" si="1"/>
        <v>3</v>
      </c>
      <c r="H24" s="595">
        <f t="shared" si="2"/>
        <v>11</v>
      </c>
      <c r="I24" s="594">
        <v>110</v>
      </c>
      <c r="J24" s="593">
        <f t="shared" si="3"/>
        <v>1540</v>
      </c>
      <c r="K24" s="592">
        <v>4.2500000000000003E-2</v>
      </c>
      <c r="L24" s="591">
        <f t="shared" si="4"/>
        <v>0.45347650491031616</v>
      </c>
      <c r="M24" s="590">
        <f t="shared" si="0"/>
        <v>4503.7076169036054</v>
      </c>
      <c r="N24" s="589"/>
      <c r="Q24" s="579"/>
      <c r="U24" s="588"/>
    </row>
    <row r="25" spans="2:21">
      <c r="B25" s="600">
        <v>2043</v>
      </c>
      <c r="C25" s="599">
        <v>21</v>
      </c>
      <c r="D25" s="599">
        <v>85</v>
      </c>
      <c r="E25" s="598">
        <f t="shared" si="5"/>
        <v>11</v>
      </c>
      <c r="F25" s="597">
        <v>0.2</v>
      </c>
      <c r="G25" s="596">
        <f t="shared" si="1"/>
        <v>2</v>
      </c>
      <c r="H25" s="595">
        <f t="shared" si="2"/>
        <v>9</v>
      </c>
      <c r="I25" s="594">
        <v>110</v>
      </c>
      <c r="J25" s="593">
        <f t="shared" si="3"/>
        <v>1210</v>
      </c>
      <c r="K25" s="592">
        <v>4.2500000000000003E-2</v>
      </c>
      <c r="L25" s="591">
        <f t="shared" si="4"/>
        <v>0.43498945315138243</v>
      </c>
      <c r="M25" s="590">
        <f t="shared" si="0"/>
        <v>3485.1151906220084</v>
      </c>
      <c r="N25" s="589"/>
      <c r="Q25" s="579"/>
      <c r="U25" s="588"/>
    </row>
    <row r="26" spans="2:21">
      <c r="B26" s="600">
        <v>2044</v>
      </c>
      <c r="C26" s="599">
        <v>22</v>
      </c>
      <c r="D26" s="599">
        <v>86</v>
      </c>
      <c r="E26" s="598">
        <f t="shared" si="5"/>
        <v>9</v>
      </c>
      <c r="F26" s="597">
        <v>0.2</v>
      </c>
      <c r="G26" s="596">
        <f t="shared" si="1"/>
        <v>2</v>
      </c>
      <c r="H26" s="595">
        <f t="shared" si="2"/>
        <v>7</v>
      </c>
      <c r="I26" s="594">
        <v>110</v>
      </c>
      <c r="J26" s="593">
        <f t="shared" si="3"/>
        <v>990</v>
      </c>
      <c r="K26" s="592">
        <v>4.2500000000000003E-2</v>
      </c>
      <c r="L26" s="591">
        <f t="shared" si="4"/>
        <v>0.41725607016919181</v>
      </c>
      <c r="M26" s="590">
        <f t="shared" si="0"/>
        <v>2643.2325862234434</v>
      </c>
      <c r="N26" s="589"/>
      <c r="Q26" s="579"/>
      <c r="U26" s="588"/>
    </row>
    <row r="27" spans="2:21">
      <c r="B27" s="600">
        <v>2045</v>
      </c>
      <c r="C27" s="599">
        <v>23</v>
      </c>
      <c r="D27" s="599">
        <v>87</v>
      </c>
      <c r="E27" s="598">
        <f t="shared" si="5"/>
        <v>7</v>
      </c>
      <c r="F27" s="597">
        <v>0.2</v>
      </c>
      <c r="G27" s="596">
        <f t="shared" si="1"/>
        <v>1</v>
      </c>
      <c r="H27" s="595">
        <f t="shared" si="2"/>
        <v>6</v>
      </c>
      <c r="I27" s="594">
        <v>110</v>
      </c>
      <c r="J27" s="593">
        <f t="shared" si="3"/>
        <v>770</v>
      </c>
      <c r="K27" s="592">
        <v>4.2500000000000003E-2</v>
      </c>
      <c r="L27" s="591">
        <f t="shared" si="4"/>
        <v>0.40024563085773796</v>
      </c>
      <c r="M27" s="590">
        <f t="shared" si="0"/>
        <v>1985.5699711379402</v>
      </c>
      <c r="N27" s="589"/>
      <c r="Q27" s="579"/>
      <c r="U27" s="588"/>
    </row>
    <row r="28" spans="2:21">
      <c r="B28" s="600">
        <v>2046</v>
      </c>
      <c r="C28" s="599">
        <v>24</v>
      </c>
      <c r="D28" s="599">
        <v>88</v>
      </c>
      <c r="E28" s="598">
        <f t="shared" si="5"/>
        <v>6</v>
      </c>
      <c r="F28" s="597">
        <v>0.2</v>
      </c>
      <c r="G28" s="596">
        <f t="shared" si="1"/>
        <v>1</v>
      </c>
      <c r="H28" s="595">
        <f t="shared" si="2"/>
        <v>5</v>
      </c>
      <c r="I28" s="594">
        <v>110</v>
      </c>
      <c r="J28" s="593">
        <f t="shared" si="3"/>
        <v>660</v>
      </c>
      <c r="K28" s="592">
        <v>4.2500000000000003E-2</v>
      </c>
      <c r="L28" s="591">
        <f t="shared" si="4"/>
        <v>0.3839286626932738</v>
      </c>
      <c r="M28" s="590">
        <f t="shared" si="0"/>
        <v>1409.9566949113027</v>
      </c>
      <c r="N28" s="589"/>
      <c r="Q28" s="579"/>
      <c r="U28" s="588"/>
    </row>
    <row r="29" spans="2:21">
      <c r="B29" s="600">
        <v>2047</v>
      </c>
      <c r="C29" s="599">
        <v>25</v>
      </c>
      <c r="D29" s="599">
        <v>89</v>
      </c>
      <c r="E29" s="598">
        <f t="shared" si="5"/>
        <v>5</v>
      </c>
      <c r="F29" s="597">
        <v>0.2</v>
      </c>
      <c r="G29" s="596">
        <f t="shared" si="1"/>
        <v>1</v>
      </c>
      <c r="H29" s="595">
        <f t="shared" si="2"/>
        <v>4</v>
      </c>
      <c r="I29" s="594">
        <v>110</v>
      </c>
      <c r="J29" s="593">
        <f t="shared" si="3"/>
        <v>550</v>
      </c>
      <c r="K29" s="592">
        <v>4.2500000000000003E-2</v>
      </c>
      <c r="L29" s="591">
        <f t="shared" si="4"/>
        <v>0.36827689466980701</v>
      </c>
      <c r="M29" s="590">
        <f t="shared" si="0"/>
        <v>919.87985444503295</v>
      </c>
      <c r="N29" s="589"/>
      <c r="Q29" s="579"/>
      <c r="U29" s="588"/>
    </row>
    <row r="30" spans="2:21">
      <c r="B30" s="600">
        <v>2048</v>
      </c>
      <c r="C30" s="599">
        <v>26</v>
      </c>
      <c r="D30" s="599">
        <v>90</v>
      </c>
      <c r="E30" s="598">
        <f t="shared" si="5"/>
        <v>4</v>
      </c>
      <c r="F30" s="597">
        <v>0.2</v>
      </c>
      <c r="G30" s="596">
        <f t="shared" si="1"/>
        <v>1</v>
      </c>
      <c r="H30" s="595">
        <f t="shared" si="2"/>
        <v>3</v>
      </c>
      <c r="I30" s="594">
        <v>110</v>
      </c>
      <c r="J30" s="593">
        <f t="shared" si="3"/>
        <v>440</v>
      </c>
      <c r="K30" s="592">
        <v>4.2500000000000003E-2</v>
      </c>
      <c r="L30" s="591">
        <f t="shared" si="4"/>
        <v>0.35326320831636165</v>
      </c>
      <c r="M30" s="590">
        <f t="shared" si="0"/>
        <v>518.97474825894676</v>
      </c>
      <c r="N30" s="589"/>
      <c r="Q30" s="579"/>
      <c r="U30" s="588"/>
    </row>
    <row r="31" spans="2:21">
      <c r="B31" s="600">
        <v>2049</v>
      </c>
      <c r="C31" s="599">
        <v>27</v>
      </c>
      <c r="D31" s="599">
        <v>91</v>
      </c>
      <c r="E31" s="598">
        <f t="shared" si="5"/>
        <v>3</v>
      </c>
      <c r="F31" s="597">
        <v>0.2</v>
      </c>
      <c r="G31" s="596">
        <f t="shared" si="1"/>
        <v>1</v>
      </c>
      <c r="H31" s="595">
        <f t="shared" si="2"/>
        <v>2</v>
      </c>
      <c r="I31" s="594">
        <v>110</v>
      </c>
      <c r="J31" s="593">
        <f t="shared" si="3"/>
        <v>330</v>
      </c>
      <c r="K31" s="592">
        <v>4.2500000000000003E-2</v>
      </c>
      <c r="L31" s="591">
        <f t="shared" si="4"/>
        <v>0.33886159071113831</v>
      </c>
      <c r="M31" s="590">
        <f t="shared" si="0"/>
        <v>211.03117505995203</v>
      </c>
      <c r="N31" s="589"/>
      <c r="Q31" s="579"/>
      <c r="U31" s="588"/>
    </row>
    <row r="32" spans="2:21">
      <c r="B32" s="600">
        <v>2050</v>
      </c>
      <c r="C32" s="599">
        <v>28</v>
      </c>
      <c r="D32" s="599">
        <v>92</v>
      </c>
      <c r="E32" s="598">
        <f t="shared" si="5"/>
        <v>2</v>
      </c>
      <c r="F32" s="597">
        <v>1</v>
      </c>
      <c r="G32" s="596">
        <f t="shared" si="1"/>
        <v>2</v>
      </c>
      <c r="H32" s="595">
        <f t="shared" si="2"/>
        <v>0</v>
      </c>
      <c r="I32" s="594">
        <v>110</v>
      </c>
      <c r="J32" s="593">
        <f t="shared" si="3"/>
        <v>220</v>
      </c>
      <c r="K32" s="592">
        <v>4.2500000000000003E-2</v>
      </c>
      <c r="L32" s="591">
        <f t="shared" si="4"/>
        <v>0.32504708941116384</v>
      </c>
      <c r="M32" s="590">
        <f t="shared" si="0"/>
        <v>0</v>
      </c>
      <c r="N32" s="589"/>
      <c r="Q32" s="579"/>
      <c r="U32" s="588"/>
    </row>
    <row r="33" spans="2:17">
      <c r="B33" s="586"/>
      <c r="E33" s="585"/>
      <c r="F33" s="584"/>
      <c r="G33" s="583"/>
      <c r="H33" s="582"/>
      <c r="J33" s="581"/>
      <c r="K33" s="580"/>
      <c r="L33" s="587">
        <f t="shared" si="4"/>
        <v>0.31179576921934182</v>
      </c>
      <c r="M33" s="579"/>
      <c r="N33" s="578"/>
      <c r="Q33" s="579"/>
    </row>
    <row r="34" spans="2:17">
      <c r="B34" s="586"/>
      <c r="E34" s="585"/>
      <c r="F34" s="584"/>
      <c r="G34" s="583"/>
      <c r="H34" s="582"/>
      <c r="J34" s="581"/>
      <c r="K34" s="580"/>
      <c r="L34" s="576"/>
      <c r="M34" s="579"/>
      <c r="N34" s="578"/>
      <c r="Q34" s="579"/>
    </row>
    <row r="35" spans="2:17">
      <c r="B35" s="586"/>
      <c r="E35" s="585"/>
      <c r="F35" s="584"/>
      <c r="G35" s="583"/>
      <c r="H35" s="582"/>
      <c r="J35" s="581"/>
      <c r="K35" s="580"/>
      <c r="L35" s="576"/>
      <c r="M35" s="579"/>
      <c r="N35" s="578"/>
      <c r="Q35" s="579"/>
    </row>
    <row r="36" spans="2:17">
      <c r="B36" s="586"/>
      <c r="E36" s="585"/>
      <c r="F36" s="584"/>
      <c r="G36" s="583"/>
      <c r="H36" s="582"/>
      <c r="J36" s="581"/>
      <c r="K36" s="580"/>
      <c r="L36" s="576"/>
      <c r="M36" s="579"/>
      <c r="N36" s="578"/>
      <c r="Q36" s="579"/>
    </row>
    <row r="37" spans="2:17">
      <c r="B37" s="586"/>
      <c r="E37" s="585"/>
      <c r="F37" s="584"/>
      <c r="G37" s="583"/>
      <c r="H37" s="582"/>
      <c r="J37" s="581"/>
      <c r="K37" s="580"/>
      <c r="L37" s="576"/>
      <c r="M37" s="579"/>
      <c r="N37" s="578"/>
      <c r="Q37" s="579"/>
    </row>
    <row r="38" spans="2:17">
      <c r="B38" s="586"/>
      <c r="E38" s="585"/>
      <c r="F38" s="584"/>
      <c r="G38" s="583"/>
      <c r="H38" s="582"/>
      <c r="J38" s="581"/>
      <c r="K38" s="580"/>
      <c r="L38" s="576"/>
      <c r="M38" s="579"/>
      <c r="N38" s="578"/>
      <c r="Q38" s="579"/>
    </row>
    <row r="39" spans="2:17">
      <c r="B39" s="586"/>
      <c r="E39" s="585"/>
      <c r="F39" s="584"/>
      <c r="G39" s="583"/>
      <c r="H39" s="582"/>
      <c r="J39" s="581"/>
      <c r="K39" s="580"/>
      <c r="L39" s="576"/>
      <c r="M39" s="579"/>
      <c r="N39" s="578"/>
      <c r="Q39" s="579"/>
    </row>
    <row r="40" spans="2:17">
      <c r="B40" s="586"/>
      <c r="E40" s="585"/>
      <c r="F40" s="584"/>
      <c r="G40" s="583"/>
      <c r="H40" s="582"/>
      <c r="J40" s="581"/>
      <c r="K40" s="580"/>
      <c r="L40" s="576"/>
      <c r="M40" s="579"/>
      <c r="N40" s="578"/>
      <c r="Q40" s="579"/>
    </row>
    <row r="41" spans="2:17">
      <c r="B41" s="586"/>
      <c r="E41" s="585"/>
      <c r="F41" s="584"/>
      <c r="G41" s="583"/>
      <c r="H41" s="582"/>
      <c r="J41" s="581"/>
      <c r="K41" s="580"/>
      <c r="L41" s="576"/>
      <c r="M41" s="579"/>
      <c r="N41" s="578"/>
      <c r="Q41" s="579"/>
    </row>
    <row r="42" spans="2:17">
      <c r="B42" s="586"/>
      <c r="E42" s="585"/>
      <c r="F42" s="584"/>
      <c r="G42" s="583"/>
      <c r="H42" s="582"/>
      <c r="J42" s="581"/>
      <c r="K42" s="580"/>
      <c r="L42" s="576"/>
      <c r="M42" s="579"/>
      <c r="N42" s="578"/>
      <c r="Q42" s="579"/>
    </row>
    <row r="43" spans="2:17">
      <c r="B43" s="586"/>
      <c r="E43" s="585"/>
      <c r="F43" s="584"/>
      <c r="G43" s="583"/>
      <c r="H43" s="582"/>
      <c r="J43" s="581"/>
      <c r="K43" s="580"/>
      <c r="L43" s="576"/>
      <c r="M43" s="579"/>
      <c r="N43" s="578"/>
      <c r="Q43" s="579"/>
    </row>
    <row r="44" spans="2:17">
      <c r="B44" s="586"/>
      <c r="E44" s="585"/>
      <c r="F44" s="584"/>
      <c r="G44" s="583"/>
      <c r="H44" s="582"/>
      <c r="J44" s="581"/>
      <c r="K44" s="580"/>
      <c r="L44" s="576"/>
      <c r="M44" s="579"/>
      <c r="N44" s="578"/>
      <c r="Q44" s="579"/>
    </row>
    <row r="45" spans="2:17">
      <c r="B45" s="586"/>
      <c r="E45" s="585"/>
      <c r="F45" s="584"/>
      <c r="G45" s="583"/>
      <c r="H45" s="582"/>
      <c r="J45" s="581"/>
      <c r="K45" s="580"/>
      <c r="L45" s="576"/>
      <c r="M45" s="579"/>
      <c r="N45" s="578"/>
      <c r="Q45" s="579"/>
    </row>
    <row r="46" spans="2:17">
      <c r="B46" s="586"/>
      <c r="E46" s="585"/>
      <c r="F46" s="584"/>
      <c r="G46" s="583"/>
      <c r="H46" s="582"/>
      <c r="J46" s="581"/>
      <c r="K46" s="580"/>
      <c r="L46" s="576"/>
      <c r="M46" s="579"/>
      <c r="N46" s="578"/>
      <c r="Q46" s="579"/>
    </row>
    <row r="47" spans="2:17">
      <c r="B47" s="586"/>
      <c r="E47" s="585"/>
      <c r="F47" s="584"/>
      <c r="G47" s="583"/>
      <c r="H47" s="582"/>
      <c r="J47" s="581"/>
      <c r="K47" s="580"/>
      <c r="L47" s="576"/>
      <c r="M47" s="579"/>
      <c r="N47" s="578"/>
      <c r="Q47" s="579"/>
    </row>
    <row r="48" spans="2:17">
      <c r="B48" s="586"/>
      <c r="E48" s="585"/>
      <c r="F48" s="584"/>
      <c r="G48" s="583"/>
      <c r="H48" s="582"/>
      <c r="J48" s="581"/>
      <c r="K48" s="580"/>
      <c r="L48" s="576"/>
      <c r="M48" s="579"/>
      <c r="N48" s="578"/>
      <c r="Q48" s="579"/>
    </row>
    <row r="49" spans="2:17">
      <c r="B49" s="586"/>
      <c r="E49" s="585"/>
      <c r="F49" s="584"/>
      <c r="G49" s="583"/>
      <c r="H49" s="582"/>
      <c r="J49" s="581"/>
      <c r="K49" s="580"/>
      <c r="L49" s="576"/>
      <c r="M49" s="579"/>
      <c r="N49" s="578"/>
      <c r="Q49" s="579"/>
    </row>
    <row r="50" spans="2:17">
      <c r="B50" s="586"/>
      <c r="E50" s="585"/>
      <c r="F50" s="584"/>
      <c r="G50" s="583"/>
      <c r="H50" s="582"/>
      <c r="J50" s="581"/>
      <c r="K50" s="580"/>
      <c r="L50" s="576"/>
      <c r="M50" s="579"/>
      <c r="N50" s="578"/>
      <c r="Q50" s="579"/>
    </row>
    <row r="51" spans="2:17">
      <c r="B51" s="586"/>
      <c r="E51" s="585"/>
      <c r="F51" s="584"/>
      <c r="G51" s="583"/>
      <c r="H51" s="582"/>
      <c r="J51" s="581"/>
      <c r="K51" s="580"/>
      <c r="L51" s="576"/>
      <c r="M51" s="579"/>
      <c r="N51" s="578"/>
      <c r="Q51" s="579"/>
    </row>
    <row r="52" spans="2:17">
      <c r="B52" s="586"/>
      <c r="E52" s="585"/>
      <c r="F52" s="584"/>
      <c r="G52" s="583"/>
      <c r="H52" s="582"/>
      <c r="J52" s="581"/>
      <c r="K52" s="580"/>
      <c r="L52" s="576"/>
      <c r="M52" s="579"/>
      <c r="N52" s="578"/>
      <c r="Q52" s="579"/>
    </row>
    <row r="53" spans="2:17">
      <c r="B53" s="586"/>
      <c r="E53" s="585"/>
      <c r="F53" s="584"/>
      <c r="G53" s="583"/>
      <c r="H53" s="582"/>
      <c r="J53" s="581"/>
      <c r="K53" s="580"/>
      <c r="L53" s="576"/>
      <c r="M53" s="579"/>
      <c r="N53" s="578"/>
      <c r="Q53" s="579"/>
    </row>
    <row r="54" spans="2:17">
      <c r="B54" s="586"/>
      <c r="E54" s="585"/>
      <c r="F54" s="584"/>
      <c r="G54" s="583"/>
      <c r="H54" s="582"/>
      <c r="J54" s="581"/>
      <c r="K54" s="580"/>
      <c r="L54" s="576"/>
      <c r="M54" s="579"/>
      <c r="N54" s="578"/>
      <c r="Q54" s="579"/>
    </row>
    <row r="55" spans="2:17">
      <c r="B55" s="586"/>
      <c r="E55" s="585"/>
      <c r="F55" s="584"/>
      <c r="G55" s="583"/>
      <c r="H55" s="582"/>
      <c r="J55" s="581"/>
      <c r="K55" s="580"/>
      <c r="L55" s="576"/>
      <c r="M55" s="579"/>
      <c r="N55" s="578"/>
      <c r="Q55" s="579"/>
    </row>
    <row r="56" spans="2:17">
      <c r="B56" s="586"/>
      <c r="E56" s="585"/>
      <c r="F56" s="584"/>
      <c r="G56" s="583"/>
      <c r="H56" s="582"/>
      <c r="J56" s="581"/>
      <c r="K56" s="580"/>
      <c r="L56" s="576"/>
      <c r="M56" s="579"/>
      <c r="N56" s="578"/>
      <c r="Q56" s="579"/>
    </row>
    <row r="57" spans="2:17">
      <c r="B57" s="586"/>
      <c r="E57" s="585"/>
      <c r="F57" s="584"/>
      <c r="G57" s="583"/>
      <c r="H57" s="582"/>
      <c r="J57" s="581"/>
      <c r="K57" s="580"/>
      <c r="L57" s="576"/>
      <c r="M57" s="579"/>
      <c r="N57" s="578"/>
      <c r="Q57" s="579"/>
    </row>
    <row r="58" spans="2:17">
      <c r="B58" s="586"/>
      <c r="E58" s="585"/>
      <c r="F58" s="584"/>
      <c r="G58" s="583"/>
      <c r="H58" s="582"/>
      <c r="J58" s="581"/>
      <c r="K58" s="580"/>
      <c r="L58" s="576"/>
      <c r="M58" s="579"/>
      <c r="N58" s="578"/>
      <c r="Q58" s="579"/>
    </row>
    <row r="59" spans="2:17">
      <c r="B59" s="586"/>
      <c r="E59" s="585"/>
      <c r="F59" s="584"/>
      <c r="G59" s="583"/>
      <c r="H59" s="582"/>
      <c r="J59" s="581"/>
      <c r="K59" s="580"/>
      <c r="L59" s="576"/>
      <c r="M59" s="579"/>
      <c r="N59" s="578"/>
      <c r="Q59" s="579"/>
    </row>
    <row r="60" spans="2:17">
      <c r="B60" s="586"/>
      <c r="E60" s="585"/>
      <c r="F60" s="584"/>
      <c r="G60" s="583"/>
      <c r="H60" s="582"/>
      <c r="J60" s="581"/>
      <c r="K60" s="580"/>
      <c r="L60" s="576"/>
      <c r="M60" s="579"/>
      <c r="N60" s="578"/>
      <c r="Q60" s="577"/>
    </row>
    <row r="61" spans="2:17">
      <c r="L61" s="576"/>
      <c r="M61" s="575"/>
      <c r="N61" s="575"/>
    </row>
  </sheetData>
  <pageMargins left="0.7" right="0.7" top="0.75" bottom="0.75" header="0.3" footer="0.3"/>
  <pageSetup orientation="portrait" horizontalDpi="90" verticalDpi="90" r:id="rId1"/>
  <headerFooter>
    <oddFooter>&amp;C_x000D_&amp;1#&amp;"Calibri"&amp;10&amp;K000000 CONFIDENTIAL</oddFooter>
  </headerFooter>
  <customProperties>
    <customPr name="_pios_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B8D76-6C2B-4330-A33A-311BD04106B6}">
  <sheetPr>
    <tabColor theme="5" tint="0.79998168889431442"/>
  </sheetPr>
  <dimension ref="B2:O64"/>
  <sheetViews>
    <sheetView workbookViewId="0">
      <selection activeCell="D9" sqref="D9"/>
    </sheetView>
  </sheetViews>
  <sheetFormatPr defaultColWidth="9" defaultRowHeight="13.8"/>
  <cols>
    <col min="1" max="1" width="4" style="570" customWidth="1"/>
    <col min="2" max="4" width="8.44140625" style="570" customWidth="1"/>
    <col min="5" max="5" width="17" style="570" customWidth="1"/>
    <col min="6" max="6" width="12.44140625" style="570" bestFit="1" customWidth="1"/>
    <col min="7" max="7" width="13.44140625" style="570" customWidth="1"/>
    <col min="8" max="11" width="12" style="570" customWidth="1"/>
    <col min="12" max="16384" width="9" style="570"/>
  </cols>
  <sheetData>
    <row r="2" spans="2:15">
      <c r="E2" s="635" t="s">
        <v>1182</v>
      </c>
    </row>
    <row r="3" spans="2:15">
      <c r="E3" s="570" t="s">
        <v>1181</v>
      </c>
      <c r="F3" s="623"/>
    </row>
    <row r="4" spans="2:15">
      <c r="E4" s="570" t="s">
        <v>1180</v>
      </c>
    </row>
    <row r="5" spans="2:15">
      <c r="E5" s="570" t="s">
        <v>1179</v>
      </c>
    </row>
    <row r="6" spans="2:15" ht="27.6">
      <c r="B6" s="612" t="s">
        <v>1170</v>
      </c>
      <c r="C6" s="612" t="s">
        <v>890</v>
      </c>
      <c r="D6" s="612" t="s">
        <v>652</v>
      </c>
      <c r="E6" s="608" t="s">
        <v>1178</v>
      </c>
      <c r="F6" s="608" t="s">
        <v>1177</v>
      </c>
      <c r="G6" s="608" t="s">
        <v>1176</v>
      </c>
      <c r="H6" s="608" t="s">
        <v>1175</v>
      </c>
      <c r="I6" s="608" t="s">
        <v>1174</v>
      </c>
      <c r="J6" s="608" t="s">
        <v>1173</v>
      </c>
      <c r="K6" s="608" t="s">
        <v>1172</v>
      </c>
      <c r="O6" s="634"/>
    </row>
    <row r="7" spans="2:15">
      <c r="B7" s="612"/>
      <c r="C7" s="612"/>
      <c r="D7" s="612"/>
      <c r="E7" s="633">
        <v>30000</v>
      </c>
      <c r="F7" s="633">
        <v>65000</v>
      </c>
      <c r="G7" s="633">
        <f>E7+F7</f>
        <v>95000</v>
      </c>
      <c r="H7" s="626">
        <v>110000</v>
      </c>
      <c r="I7" s="608"/>
      <c r="J7" s="608"/>
      <c r="K7" s="632">
        <f>G7</f>
        <v>95000</v>
      </c>
    </row>
    <row r="8" spans="2:15">
      <c r="B8" s="600">
        <v>2023</v>
      </c>
      <c r="C8" s="599">
        <v>1</v>
      </c>
      <c r="D8" s="599">
        <v>65</v>
      </c>
      <c r="E8" s="629"/>
      <c r="F8" s="629"/>
      <c r="G8" s="629"/>
      <c r="H8" s="626">
        <v>110000</v>
      </c>
      <c r="I8" s="627">
        <f t="shared" ref="I8:I35" si="0">IFERROR(H7/SUM(H7:H63),0)</f>
        <v>9.5011876484560567E-2</v>
      </c>
      <c r="J8" s="626">
        <f t="shared" ref="J8:J35" si="1">K7*I8</f>
        <v>9026.1282660332545</v>
      </c>
      <c r="K8" s="626">
        <f t="shared" ref="K8:K35" si="2">K7-J8</f>
        <v>85973.871733966749</v>
      </c>
    </row>
    <row r="9" spans="2:15">
      <c r="B9" s="600">
        <v>2024</v>
      </c>
      <c r="C9" s="599">
        <v>2</v>
      </c>
      <c r="D9" s="599">
        <v>66</v>
      </c>
      <c r="E9" s="629"/>
      <c r="F9" s="629"/>
      <c r="G9" s="629"/>
      <c r="H9" s="626">
        <v>110000</v>
      </c>
      <c r="I9" s="627">
        <f t="shared" si="0"/>
        <v>0.10498687664041995</v>
      </c>
      <c r="J9" s="626">
        <f t="shared" si="1"/>
        <v>9026.1282660332545</v>
      </c>
      <c r="K9" s="626">
        <f t="shared" si="2"/>
        <v>76947.743467933498</v>
      </c>
    </row>
    <row r="10" spans="2:15">
      <c r="B10" s="600">
        <v>2025</v>
      </c>
      <c r="C10" s="599">
        <v>3</v>
      </c>
      <c r="D10" s="599">
        <v>67</v>
      </c>
      <c r="E10" s="629"/>
      <c r="F10" s="629"/>
      <c r="G10" s="629"/>
      <c r="H10" s="626">
        <v>110000</v>
      </c>
      <c r="I10" s="627">
        <f t="shared" si="0"/>
        <v>0.11730205278592376</v>
      </c>
      <c r="J10" s="626">
        <f t="shared" si="1"/>
        <v>9026.1282660332563</v>
      </c>
      <c r="K10" s="631">
        <f t="shared" si="2"/>
        <v>67921.615201900247</v>
      </c>
      <c r="L10" s="630" t="s">
        <v>1161</v>
      </c>
    </row>
    <row r="11" spans="2:15">
      <c r="B11" s="600">
        <v>2026</v>
      </c>
      <c r="C11" s="599">
        <v>4</v>
      </c>
      <c r="D11" s="599">
        <v>68</v>
      </c>
      <c r="E11" s="629"/>
      <c r="F11" s="629"/>
      <c r="G11" s="629"/>
      <c r="H11" s="626">
        <v>110000</v>
      </c>
      <c r="I11" s="627">
        <f t="shared" si="0"/>
        <v>0.13289036544850499</v>
      </c>
      <c r="J11" s="626">
        <f t="shared" si="1"/>
        <v>9026.1282660332563</v>
      </c>
      <c r="K11" s="626">
        <f t="shared" si="2"/>
        <v>58895.486935866989</v>
      </c>
    </row>
    <row r="12" spans="2:15">
      <c r="B12" s="600">
        <v>2027</v>
      </c>
      <c r="C12" s="599">
        <v>5</v>
      </c>
      <c r="D12" s="599">
        <v>69</v>
      </c>
      <c r="E12" s="629"/>
      <c r="F12" s="629"/>
      <c r="G12" s="629"/>
      <c r="H12" s="626">
        <v>110000</v>
      </c>
      <c r="I12" s="627">
        <f t="shared" si="0"/>
        <v>0.1532567049808429</v>
      </c>
      <c r="J12" s="626">
        <f t="shared" si="1"/>
        <v>9026.1282660332545</v>
      </c>
      <c r="K12" s="626">
        <f t="shared" si="2"/>
        <v>49869.358669833731</v>
      </c>
    </row>
    <row r="13" spans="2:15">
      <c r="B13" s="600">
        <v>2028</v>
      </c>
      <c r="C13" s="599">
        <v>6</v>
      </c>
      <c r="D13" s="599">
        <v>70</v>
      </c>
      <c r="E13" s="629"/>
      <c r="F13" s="629"/>
      <c r="G13" s="629"/>
      <c r="H13" s="626">
        <v>110000</v>
      </c>
      <c r="I13" s="627">
        <f t="shared" si="0"/>
        <v>0.18099547511312217</v>
      </c>
      <c r="J13" s="626">
        <f t="shared" si="1"/>
        <v>9026.1282660332545</v>
      </c>
      <c r="K13" s="626">
        <f t="shared" si="2"/>
        <v>40843.23040380048</v>
      </c>
    </row>
    <row r="14" spans="2:15">
      <c r="B14" s="600">
        <v>2029</v>
      </c>
      <c r="C14" s="599">
        <v>7</v>
      </c>
      <c r="D14" s="599">
        <v>71</v>
      </c>
      <c r="E14" s="629"/>
      <c r="F14" s="629"/>
      <c r="G14" s="629"/>
      <c r="H14" s="626">
        <v>110000</v>
      </c>
      <c r="I14" s="627">
        <f t="shared" si="0"/>
        <v>0.22099447513812154</v>
      </c>
      <c r="J14" s="626">
        <f t="shared" si="1"/>
        <v>9026.1282660332545</v>
      </c>
      <c r="K14" s="626">
        <f t="shared" si="2"/>
        <v>31817.102137767226</v>
      </c>
    </row>
    <row r="15" spans="2:15">
      <c r="B15" s="600">
        <v>2030</v>
      </c>
      <c r="C15" s="599">
        <v>8</v>
      </c>
      <c r="D15" s="599">
        <v>72</v>
      </c>
      <c r="E15" s="629"/>
      <c r="F15" s="629"/>
      <c r="G15" s="629"/>
      <c r="H15" s="626">
        <v>110000</v>
      </c>
      <c r="I15" s="627">
        <f t="shared" si="0"/>
        <v>0.28368794326241137</v>
      </c>
      <c r="J15" s="626">
        <f t="shared" si="1"/>
        <v>9026.1282660332563</v>
      </c>
      <c r="K15" s="626">
        <f t="shared" si="2"/>
        <v>22790.973871733971</v>
      </c>
    </row>
    <row r="16" spans="2:15">
      <c r="B16" s="600">
        <v>2031</v>
      </c>
      <c r="C16" s="599">
        <v>9</v>
      </c>
      <c r="D16" s="599">
        <v>73</v>
      </c>
      <c r="E16" s="629"/>
      <c r="F16" s="629"/>
      <c r="G16" s="629"/>
      <c r="H16" s="626">
        <v>110000</v>
      </c>
      <c r="I16" s="627">
        <f t="shared" si="0"/>
        <v>0.39603960396039606</v>
      </c>
      <c r="J16" s="626">
        <f t="shared" si="1"/>
        <v>9026.1282660332563</v>
      </c>
      <c r="K16" s="626">
        <f t="shared" si="2"/>
        <v>13764.845605700715</v>
      </c>
    </row>
    <row r="17" spans="2:11">
      <c r="B17" s="600">
        <v>2032</v>
      </c>
      <c r="C17" s="599">
        <v>10</v>
      </c>
      <c r="D17" s="599">
        <v>74</v>
      </c>
      <c r="E17" s="629"/>
      <c r="F17" s="629"/>
      <c r="G17" s="629"/>
      <c r="H17" s="626">
        <v>11770</v>
      </c>
      <c r="I17" s="627">
        <f t="shared" si="0"/>
        <v>0.65573770491803274</v>
      </c>
      <c r="J17" s="626">
        <f t="shared" si="1"/>
        <v>9026.1282660332545</v>
      </c>
      <c r="K17" s="626">
        <f t="shared" si="2"/>
        <v>4738.7173396674607</v>
      </c>
    </row>
    <row r="18" spans="2:11">
      <c r="B18" s="600">
        <v>2033</v>
      </c>
      <c r="C18" s="599">
        <v>11</v>
      </c>
      <c r="D18" s="599">
        <v>75</v>
      </c>
      <c r="E18" s="629"/>
      <c r="F18" s="629"/>
      <c r="G18" s="629"/>
      <c r="H18" s="626">
        <v>9460</v>
      </c>
      <c r="I18" s="627">
        <f t="shared" si="0"/>
        <v>0.2038095238095238</v>
      </c>
      <c r="J18" s="626">
        <f t="shared" si="1"/>
        <v>965.79572446555858</v>
      </c>
      <c r="K18" s="626">
        <f t="shared" si="2"/>
        <v>3772.9216152019021</v>
      </c>
    </row>
    <row r="19" spans="2:11">
      <c r="B19" s="600">
        <v>2034</v>
      </c>
      <c r="C19" s="599">
        <v>12</v>
      </c>
      <c r="D19" s="599">
        <v>76</v>
      </c>
      <c r="E19" s="629"/>
      <c r="F19" s="629"/>
      <c r="G19" s="629"/>
      <c r="H19" s="626">
        <v>7590</v>
      </c>
      <c r="I19" s="627">
        <f t="shared" si="0"/>
        <v>0.20574162679425836</v>
      </c>
      <c r="J19" s="626">
        <f t="shared" si="1"/>
        <v>776.24703087886019</v>
      </c>
      <c r="K19" s="626">
        <f t="shared" si="2"/>
        <v>2996.6745843230419</v>
      </c>
    </row>
    <row r="20" spans="2:11">
      <c r="B20" s="600">
        <v>2035</v>
      </c>
      <c r="C20" s="599">
        <v>13</v>
      </c>
      <c r="D20" s="599">
        <v>77</v>
      </c>
      <c r="E20" s="629"/>
      <c r="F20" s="629"/>
      <c r="G20" s="629"/>
      <c r="H20" s="626">
        <v>6050</v>
      </c>
      <c r="I20" s="627">
        <f t="shared" si="0"/>
        <v>0.20783132530120482</v>
      </c>
      <c r="J20" s="626">
        <f t="shared" si="1"/>
        <v>622.80285035629481</v>
      </c>
      <c r="K20" s="626">
        <f t="shared" si="2"/>
        <v>2373.8717339667473</v>
      </c>
    </row>
    <row r="21" spans="2:11">
      <c r="B21" s="600">
        <v>2036</v>
      </c>
      <c r="C21" s="599">
        <v>14</v>
      </c>
      <c r="D21" s="599">
        <v>78</v>
      </c>
      <c r="E21" s="629"/>
      <c r="F21" s="629"/>
      <c r="G21" s="629"/>
      <c r="H21" s="626">
        <v>4840</v>
      </c>
      <c r="I21" s="627">
        <f t="shared" si="0"/>
        <v>0.20912547528517111</v>
      </c>
      <c r="J21" s="626">
        <f t="shared" si="1"/>
        <v>496.43705463182931</v>
      </c>
      <c r="K21" s="626">
        <f t="shared" si="2"/>
        <v>1877.434679334918</v>
      </c>
    </row>
    <row r="22" spans="2:11">
      <c r="B22" s="600">
        <v>2037</v>
      </c>
      <c r="C22" s="599">
        <v>15</v>
      </c>
      <c r="D22" s="599">
        <v>79</v>
      </c>
      <c r="E22" s="629"/>
      <c r="F22" s="629"/>
      <c r="G22" s="629"/>
      <c r="H22" s="626">
        <v>3850</v>
      </c>
      <c r="I22" s="627">
        <f t="shared" si="0"/>
        <v>0.21153846153846154</v>
      </c>
      <c r="J22" s="626">
        <f t="shared" si="1"/>
        <v>397.1496437054634</v>
      </c>
      <c r="K22" s="626">
        <f t="shared" si="2"/>
        <v>1480.2850356294546</v>
      </c>
    </row>
    <row r="23" spans="2:11">
      <c r="B23" s="600">
        <v>2038</v>
      </c>
      <c r="C23" s="599">
        <v>16</v>
      </c>
      <c r="D23" s="599">
        <v>80</v>
      </c>
      <c r="E23" s="629"/>
      <c r="F23" s="629"/>
      <c r="G23" s="629"/>
      <c r="H23" s="626">
        <v>3080</v>
      </c>
      <c r="I23" s="627">
        <f t="shared" si="0"/>
        <v>0.21341463414634146</v>
      </c>
      <c r="J23" s="626">
        <f t="shared" si="1"/>
        <v>315.91448931116406</v>
      </c>
      <c r="K23" s="626">
        <f t="shared" si="2"/>
        <v>1164.3705463182905</v>
      </c>
    </row>
    <row r="24" spans="2:11">
      <c r="B24" s="600">
        <v>2039</v>
      </c>
      <c r="C24" s="599">
        <v>17</v>
      </c>
      <c r="D24" s="599">
        <v>81</v>
      </c>
      <c r="E24" s="629"/>
      <c r="F24" s="629"/>
      <c r="G24" s="629"/>
      <c r="H24" s="626">
        <v>2420</v>
      </c>
      <c r="I24" s="627">
        <f t="shared" si="0"/>
        <v>0.21705426356589147</v>
      </c>
      <c r="J24" s="626">
        <f t="shared" si="1"/>
        <v>252.73159144893128</v>
      </c>
      <c r="K24" s="626">
        <f t="shared" si="2"/>
        <v>911.63895486935917</v>
      </c>
    </row>
    <row r="25" spans="2:11">
      <c r="B25" s="600">
        <v>2040</v>
      </c>
      <c r="C25" s="599">
        <v>18</v>
      </c>
      <c r="D25" s="599">
        <v>82</v>
      </c>
      <c r="E25" s="629"/>
      <c r="F25" s="629"/>
      <c r="G25" s="629"/>
      <c r="H25" s="626">
        <v>1980</v>
      </c>
      <c r="I25" s="627">
        <f t="shared" si="0"/>
        <v>0.21782178217821782</v>
      </c>
      <c r="J25" s="626">
        <f t="shared" si="1"/>
        <v>198.5748218527317</v>
      </c>
      <c r="K25" s="626">
        <f t="shared" si="2"/>
        <v>713.06413301662747</v>
      </c>
    </row>
    <row r="26" spans="2:11">
      <c r="B26" s="600">
        <v>2041</v>
      </c>
      <c r="C26" s="599">
        <v>19</v>
      </c>
      <c r="D26" s="599">
        <v>83</v>
      </c>
      <c r="E26" s="629"/>
      <c r="F26" s="629"/>
      <c r="G26" s="629"/>
      <c r="H26" s="626">
        <v>1540</v>
      </c>
      <c r="I26" s="627">
        <f t="shared" si="0"/>
        <v>0.22784810126582278</v>
      </c>
      <c r="J26" s="626">
        <f t="shared" si="1"/>
        <v>162.47030878859866</v>
      </c>
      <c r="K26" s="626">
        <f t="shared" si="2"/>
        <v>550.59382422802878</v>
      </c>
    </row>
    <row r="27" spans="2:11">
      <c r="B27" s="600">
        <v>2042</v>
      </c>
      <c r="C27" s="599">
        <v>20</v>
      </c>
      <c r="D27" s="599">
        <v>84</v>
      </c>
      <c r="E27" s="629"/>
      <c r="F27" s="629"/>
      <c r="G27" s="629"/>
      <c r="H27" s="626">
        <v>1210</v>
      </c>
      <c r="I27" s="627">
        <f t="shared" si="0"/>
        <v>0.22950819672131148</v>
      </c>
      <c r="J27" s="626">
        <f t="shared" si="1"/>
        <v>126.36579572446563</v>
      </c>
      <c r="K27" s="626">
        <f t="shared" si="2"/>
        <v>424.22802850356317</v>
      </c>
    </row>
    <row r="28" spans="2:11">
      <c r="B28" s="600">
        <v>2043</v>
      </c>
      <c r="C28" s="599">
        <v>21</v>
      </c>
      <c r="D28" s="599">
        <v>85</v>
      </c>
      <c r="E28" s="629"/>
      <c r="F28" s="629"/>
      <c r="G28" s="629"/>
      <c r="H28" s="626">
        <v>990</v>
      </c>
      <c r="I28" s="627">
        <f t="shared" si="0"/>
        <v>0.23404255319148937</v>
      </c>
      <c r="J28" s="626">
        <f t="shared" si="1"/>
        <v>99.287410926365851</v>
      </c>
      <c r="K28" s="626">
        <f t="shared" si="2"/>
        <v>324.94061757719732</v>
      </c>
    </row>
    <row r="29" spans="2:11">
      <c r="B29" s="600">
        <v>2044</v>
      </c>
      <c r="C29" s="599">
        <v>22</v>
      </c>
      <c r="D29" s="599">
        <v>86</v>
      </c>
      <c r="E29" s="629"/>
      <c r="F29" s="629"/>
      <c r="G29" s="629"/>
      <c r="H29" s="626">
        <v>770</v>
      </c>
      <c r="I29" s="627">
        <f t="shared" si="0"/>
        <v>0.25</v>
      </c>
      <c r="J29" s="626">
        <f t="shared" si="1"/>
        <v>81.235154394299329</v>
      </c>
      <c r="K29" s="626">
        <f t="shared" si="2"/>
        <v>243.70546318289797</v>
      </c>
    </row>
    <row r="30" spans="2:11">
      <c r="B30" s="600">
        <v>2045</v>
      </c>
      <c r="C30" s="599">
        <v>23</v>
      </c>
      <c r="D30" s="599">
        <v>87</v>
      </c>
      <c r="E30" s="629"/>
      <c r="F30" s="629"/>
      <c r="G30" s="629"/>
      <c r="H30" s="626">
        <v>660</v>
      </c>
      <c r="I30" s="627">
        <f t="shared" si="0"/>
        <v>0.25925925925925924</v>
      </c>
      <c r="J30" s="626">
        <f t="shared" si="1"/>
        <v>63.182897862232807</v>
      </c>
      <c r="K30" s="626">
        <f t="shared" si="2"/>
        <v>180.52256532066517</v>
      </c>
    </row>
    <row r="31" spans="2:11">
      <c r="B31" s="600">
        <v>2046</v>
      </c>
      <c r="C31" s="599">
        <v>24</v>
      </c>
      <c r="D31" s="599">
        <v>88</v>
      </c>
      <c r="E31" s="629"/>
      <c r="F31" s="629"/>
      <c r="G31" s="629"/>
      <c r="H31" s="626">
        <v>550</v>
      </c>
      <c r="I31" s="627">
        <f t="shared" si="0"/>
        <v>0.3</v>
      </c>
      <c r="J31" s="626">
        <f t="shared" si="1"/>
        <v>54.156769596199545</v>
      </c>
      <c r="K31" s="626">
        <f t="shared" si="2"/>
        <v>126.36579572446561</v>
      </c>
    </row>
    <row r="32" spans="2:11">
      <c r="B32" s="600">
        <v>2047</v>
      </c>
      <c r="C32" s="599">
        <v>25</v>
      </c>
      <c r="D32" s="599">
        <v>89</v>
      </c>
      <c r="E32" s="629"/>
      <c r="F32" s="629"/>
      <c r="G32" s="629"/>
      <c r="H32" s="626">
        <v>440</v>
      </c>
      <c r="I32" s="627">
        <f t="shared" si="0"/>
        <v>0.35714285714285715</v>
      </c>
      <c r="J32" s="626">
        <f t="shared" si="1"/>
        <v>45.130641330166291</v>
      </c>
      <c r="K32" s="626">
        <f t="shared" si="2"/>
        <v>81.235154394299315</v>
      </c>
    </row>
    <row r="33" spans="2:11">
      <c r="B33" s="600">
        <v>2048</v>
      </c>
      <c r="C33" s="599">
        <v>26</v>
      </c>
      <c r="D33" s="599">
        <v>90</v>
      </c>
      <c r="E33" s="629"/>
      <c r="F33" s="629"/>
      <c r="G33" s="629"/>
      <c r="H33" s="626">
        <v>330</v>
      </c>
      <c r="I33" s="627">
        <f t="shared" si="0"/>
        <v>0.44444444444444442</v>
      </c>
      <c r="J33" s="626">
        <f t="shared" si="1"/>
        <v>36.104513064133023</v>
      </c>
      <c r="K33" s="626">
        <f t="shared" si="2"/>
        <v>45.130641330166291</v>
      </c>
    </row>
    <row r="34" spans="2:11">
      <c r="B34" s="600">
        <v>2049</v>
      </c>
      <c r="C34" s="599">
        <v>27</v>
      </c>
      <c r="D34" s="599">
        <v>91</v>
      </c>
      <c r="E34" s="629"/>
      <c r="F34" s="629"/>
      <c r="G34" s="629"/>
      <c r="H34" s="626">
        <v>220</v>
      </c>
      <c r="I34" s="627">
        <f t="shared" si="0"/>
        <v>0.6</v>
      </c>
      <c r="J34" s="626">
        <f t="shared" si="1"/>
        <v>27.078384798099773</v>
      </c>
      <c r="K34" s="626">
        <f t="shared" si="2"/>
        <v>18.052256532066519</v>
      </c>
    </row>
    <row r="35" spans="2:11">
      <c r="B35" s="600">
        <v>2050</v>
      </c>
      <c r="C35" s="599">
        <v>28</v>
      </c>
      <c r="D35" s="599">
        <v>92</v>
      </c>
      <c r="E35" s="628"/>
      <c r="F35" s="628"/>
      <c r="G35" s="628"/>
      <c r="H35" s="626">
        <v>0</v>
      </c>
      <c r="I35" s="627">
        <f t="shared" si="0"/>
        <v>1</v>
      </c>
      <c r="J35" s="626">
        <f t="shared" si="1"/>
        <v>18.052256532066519</v>
      </c>
      <c r="K35" s="626">
        <f t="shared" si="2"/>
        <v>0</v>
      </c>
    </row>
    <row r="36" spans="2:11">
      <c r="B36" s="586"/>
      <c r="E36" s="581"/>
      <c r="F36" s="581"/>
      <c r="G36" s="581"/>
      <c r="H36" s="624"/>
      <c r="I36" s="625"/>
      <c r="J36" s="624"/>
      <c r="K36" s="624"/>
    </row>
    <row r="37" spans="2:11">
      <c r="B37" s="586"/>
      <c r="E37" s="581"/>
      <c r="F37" s="581"/>
      <c r="G37" s="581"/>
      <c r="H37" s="624"/>
      <c r="I37" s="625"/>
      <c r="J37" s="624"/>
      <c r="K37" s="624"/>
    </row>
    <row r="38" spans="2:11">
      <c r="B38" s="586"/>
      <c r="E38" s="581"/>
      <c r="F38" s="581"/>
      <c r="G38" s="581"/>
      <c r="H38" s="624"/>
      <c r="I38" s="625"/>
      <c r="J38" s="624"/>
      <c r="K38" s="624"/>
    </row>
    <row r="39" spans="2:11">
      <c r="B39" s="586"/>
      <c r="E39" s="581"/>
      <c r="F39" s="581"/>
      <c r="G39" s="581"/>
      <c r="H39" s="624"/>
      <c r="I39" s="625"/>
      <c r="J39" s="624"/>
      <c r="K39" s="624"/>
    </row>
    <row r="40" spans="2:11">
      <c r="B40" s="586"/>
      <c r="E40" s="581"/>
      <c r="F40" s="581"/>
      <c r="G40" s="581"/>
      <c r="H40" s="624"/>
      <c r="I40" s="625"/>
      <c r="J40" s="624"/>
      <c r="K40" s="624"/>
    </row>
    <row r="41" spans="2:11">
      <c r="B41" s="586"/>
      <c r="E41" s="581"/>
      <c r="F41" s="581"/>
      <c r="G41" s="581"/>
      <c r="H41" s="624"/>
      <c r="I41" s="625"/>
      <c r="J41" s="624"/>
      <c r="K41" s="624"/>
    </row>
    <row r="42" spans="2:11">
      <c r="B42" s="586"/>
      <c r="E42" s="581"/>
      <c r="F42" s="581"/>
      <c r="G42" s="581"/>
      <c r="H42" s="624"/>
      <c r="I42" s="625"/>
      <c r="J42" s="624"/>
      <c r="K42" s="624"/>
    </row>
    <row r="43" spans="2:11">
      <c r="B43" s="586"/>
      <c r="E43" s="581"/>
      <c r="F43" s="581"/>
      <c r="G43" s="581"/>
      <c r="H43" s="624"/>
      <c r="I43" s="625"/>
      <c r="J43" s="624"/>
      <c r="K43" s="624"/>
    </row>
    <row r="44" spans="2:11">
      <c r="B44" s="586"/>
      <c r="E44" s="581"/>
      <c r="F44" s="581"/>
      <c r="G44" s="581"/>
      <c r="H44" s="624"/>
      <c r="I44" s="625"/>
      <c r="J44" s="624"/>
      <c r="K44" s="624"/>
    </row>
    <row r="45" spans="2:11">
      <c r="B45" s="586"/>
      <c r="E45" s="581"/>
      <c r="F45" s="581"/>
      <c r="G45" s="581"/>
      <c r="H45" s="624"/>
      <c r="I45" s="625"/>
      <c r="J45" s="624"/>
      <c r="K45" s="624"/>
    </row>
    <row r="46" spans="2:11">
      <c r="B46" s="586"/>
      <c r="E46" s="581"/>
      <c r="F46" s="581"/>
      <c r="G46" s="581"/>
      <c r="H46" s="624"/>
      <c r="I46" s="625"/>
      <c r="J46" s="624"/>
      <c r="K46" s="624"/>
    </row>
    <row r="47" spans="2:11">
      <c r="B47" s="586"/>
      <c r="E47" s="581"/>
      <c r="F47" s="581"/>
      <c r="G47" s="581"/>
      <c r="H47" s="624"/>
      <c r="I47" s="625"/>
      <c r="J47" s="624"/>
      <c r="K47" s="624"/>
    </row>
    <row r="48" spans="2:11">
      <c r="B48" s="586"/>
      <c r="E48" s="581"/>
      <c r="F48" s="581"/>
      <c r="G48" s="581"/>
      <c r="H48" s="624"/>
      <c r="I48" s="625"/>
      <c r="J48" s="624"/>
      <c r="K48" s="624"/>
    </row>
    <row r="49" spans="2:11">
      <c r="B49" s="586"/>
      <c r="E49" s="581"/>
      <c r="F49" s="581"/>
      <c r="G49" s="581"/>
      <c r="H49" s="624"/>
      <c r="I49" s="625"/>
      <c r="J49" s="624"/>
      <c r="K49" s="624"/>
    </row>
    <row r="50" spans="2:11">
      <c r="B50" s="586"/>
      <c r="E50" s="581"/>
      <c r="F50" s="581"/>
      <c r="G50" s="581"/>
      <c r="H50" s="624"/>
      <c r="I50" s="625"/>
      <c r="J50" s="624"/>
      <c r="K50" s="624"/>
    </row>
    <row r="51" spans="2:11">
      <c r="B51" s="586"/>
      <c r="E51" s="581"/>
      <c r="F51" s="581"/>
      <c r="G51" s="581"/>
      <c r="H51" s="624"/>
      <c r="I51" s="625"/>
      <c r="J51" s="624"/>
      <c r="K51" s="624"/>
    </row>
    <row r="52" spans="2:11">
      <c r="B52" s="586"/>
      <c r="E52" s="581"/>
      <c r="F52" s="581"/>
      <c r="G52" s="581"/>
      <c r="H52" s="624"/>
      <c r="I52" s="625"/>
      <c r="J52" s="624"/>
      <c r="K52" s="624"/>
    </row>
    <row r="53" spans="2:11">
      <c r="B53" s="586"/>
      <c r="E53" s="581"/>
      <c r="F53" s="581"/>
      <c r="G53" s="581"/>
      <c r="H53" s="624"/>
      <c r="I53" s="625"/>
      <c r="J53" s="624"/>
      <c r="K53" s="624"/>
    </row>
    <row r="54" spans="2:11">
      <c r="B54" s="586"/>
      <c r="E54" s="581"/>
      <c r="F54" s="581"/>
      <c r="G54" s="581"/>
      <c r="H54" s="624"/>
      <c r="I54" s="625"/>
      <c r="J54" s="624"/>
      <c r="K54" s="624"/>
    </row>
    <row r="55" spans="2:11">
      <c r="B55" s="586"/>
      <c r="E55" s="581"/>
      <c r="F55" s="581"/>
      <c r="G55" s="581"/>
      <c r="H55" s="624"/>
      <c r="I55" s="625"/>
      <c r="J55" s="624"/>
      <c r="K55" s="624"/>
    </row>
    <row r="56" spans="2:11">
      <c r="B56" s="586"/>
      <c r="E56" s="581"/>
      <c r="F56" s="581"/>
      <c r="G56" s="581"/>
      <c r="H56" s="624"/>
      <c r="I56" s="625"/>
      <c r="J56" s="624"/>
      <c r="K56" s="624"/>
    </row>
    <row r="57" spans="2:11">
      <c r="B57" s="586"/>
      <c r="E57" s="581"/>
      <c r="F57" s="581"/>
      <c r="G57" s="581"/>
      <c r="H57" s="624"/>
      <c r="I57" s="625"/>
      <c r="J57" s="624"/>
      <c r="K57" s="624"/>
    </row>
    <row r="58" spans="2:11">
      <c r="B58" s="586"/>
      <c r="E58" s="581"/>
      <c r="F58" s="581"/>
      <c r="G58" s="581"/>
      <c r="H58" s="624"/>
      <c r="I58" s="625"/>
      <c r="J58" s="624"/>
      <c r="K58" s="624"/>
    </row>
    <row r="59" spans="2:11">
      <c r="B59" s="586"/>
      <c r="E59" s="581"/>
      <c r="F59" s="581"/>
      <c r="G59" s="581"/>
      <c r="H59" s="624"/>
      <c r="I59" s="625"/>
      <c r="J59" s="624"/>
      <c r="K59" s="624"/>
    </row>
    <row r="60" spans="2:11">
      <c r="B60" s="586"/>
      <c r="E60" s="581"/>
      <c r="F60" s="581"/>
      <c r="G60" s="581"/>
      <c r="H60" s="624"/>
      <c r="I60" s="625"/>
      <c r="J60" s="624"/>
      <c r="K60" s="624"/>
    </row>
    <row r="61" spans="2:11">
      <c r="B61" s="586"/>
      <c r="E61" s="581"/>
      <c r="F61" s="581"/>
      <c r="G61" s="581"/>
      <c r="H61" s="624"/>
      <c r="I61" s="625"/>
      <c r="J61" s="624"/>
      <c r="K61" s="624"/>
    </row>
    <row r="62" spans="2:11">
      <c r="B62" s="586"/>
      <c r="E62" s="581"/>
      <c r="F62" s="581"/>
      <c r="G62" s="581"/>
      <c r="H62" s="624"/>
      <c r="I62" s="625"/>
      <c r="J62" s="624"/>
      <c r="K62" s="624"/>
    </row>
    <row r="63" spans="2:11">
      <c r="B63" s="586"/>
      <c r="E63" s="581"/>
      <c r="F63" s="581"/>
      <c r="G63" s="581"/>
      <c r="H63" s="624"/>
      <c r="I63" s="625"/>
      <c r="J63" s="624"/>
      <c r="K63" s="624"/>
    </row>
    <row r="64" spans="2:11">
      <c r="H64" s="624"/>
      <c r="I64" s="625"/>
      <c r="J64" s="624"/>
      <c r="K64" s="624"/>
    </row>
  </sheetData>
  <pageMargins left="0.7" right="0.7" top="0.75" bottom="0.75" header="0.3" footer="0.3"/>
  <pageSetup orientation="portrait" horizontalDpi="90" verticalDpi="90" r:id="rId1"/>
  <headerFooter>
    <oddFooter>&amp;C_x000D_&amp;1#&amp;"Calibri"&amp;10&amp;K000000 CONFIDENTIAL</oddFooter>
  </headerFooter>
  <customProperties>
    <customPr name="_pios_i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87BFD-11A1-46BC-BBC0-9CDECCBD6255}">
  <sheetPr>
    <tabColor theme="5" tint="0.79998168889431442"/>
  </sheetPr>
  <dimension ref="B1:O68"/>
  <sheetViews>
    <sheetView workbookViewId="0">
      <selection activeCell="D9" sqref="D9"/>
    </sheetView>
  </sheetViews>
  <sheetFormatPr defaultColWidth="9" defaultRowHeight="13.8"/>
  <cols>
    <col min="1" max="1" width="3.21875" style="570" customWidth="1"/>
    <col min="2" max="4" width="8.44140625" style="570" customWidth="1"/>
    <col min="5" max="5" width="26.44140625" style="570" customWidth="1"/>
    <col min="6" max="6" width="12.44140625" style="570" bestFit="1" customWidth="1"/>
    <col min="7" max="7" width="13.44140625" style="570" customWidth="1"/>
    <col min="8" max="8" width="12" style="570" customWidth="1"/>
    <col min="9" max="9" width="15" style="621" customWidth="1"/>
    <col min="10" max="10" width="25.21875" style="570" customWidth="1"/>
    <col min="11" max="11" width="9" style="570"/>
    <col min="12" max="12" width="15.44140625" style="570" customWidth="1"/>
    <col min="13" max="13" width="21" style="573" bestFit="1" customWidth="1"/>
    <col min="14" max="14" width="12.44140625" style="573" bestFit="1" customWidth="1"/>
    <col min="15" max="15" width="18" style="573" bestFit="1" customWidth="1"/>
    <col min="16" max="16384" width="9" style="570"/>
  </cols>
  <sheetData>
    <row r="1" spans="2:15">
      <c r="I1" s="570"/>
      <c r="M1" s="570"/>
      <c r="N1" s="570"/>
      <c r="O1" s="622"/>
    </row>
    <row r="2" spans="2:15">
      <c r="E2" s="656"/>
      <c r="F2" s="656" t="s">
        <v>1187</v>
      </c>
      <c r="G2" s="660" t="s">
        <v>1158</v>
      </c>
      <c r="H2" s="656" t="s">
        <v>1186</v>
      </c>
      <c r="I2" s="659"/>
      <c r="N2" s="619"/>
      <c r="O2" s="622"/>
    </row>
    <row r="3" spans="2:15">
      <c r="E3" s="656"/>
      <c r="F3" s="655"/>
      <c r="G3" s="658"/>
      <c r="H3" s="657"/>
      <c r="I3" s="643"/>
      <c r="N3" s="619"/>
      <c r="O3" s="622"/>
    </row>
    <row r="4" spans="2:15">
      <c r="E4" s="656" t="s">
        <v>1185</v>
      </c>
      <c r="F4" s="655">
        <f>'F23 Q3(a) Solution'!M8</f>
        <v>609464.58977829979</v>
      </c>
      <c r="G4" s="654">
        <f>M15</f>
        <v>590835.1061355843</v>
      </c>
      <c r="H4" s="653">
        <f>G4-F4</f>
        <v>-18629.483642715495</v>
      </c>
      <c r="N4" s="619"/>
      <c r="O4" s="622"/>
    </row>
    <row r="5" spans="2:15">
      <c r="E5" s="652" t="s">
        <v>1184</v>
      </c>
      <c r="F5" s="651">
        <f>F4-F4</f>
        <v>0</v>
      </c>
      <c r="G5" s="651">
        <f>F4-G4</f>
        <v>18629.483642715495</v>
      </c>
      <c r="H5" s="651">
        <f>G5-F5</f>
        <v>18629.483642715495</v>
      </c>
      <c r="I5" s="650" t="s">
        <v>1183</v>
      </c>
      <c r="N5" s="619"/>
      <c r="O5" s="622"/>
    </row>
    <row r="6" spans="2:15">
      <c r="E6" s="649"/>
      <c r="F6" s="648"/>
      <c r="G6" s="648"/>
      <c r="H6" s="648"/>
      <c r="I6" s="643"/>
      <c r="N6" s="619"/>
      <c r="O6" s="622"/>
    </row>
    <row r="7" spans="2:15">
      <c r="E7" s="647"/>
      <c r="F7" s="646"/>
      <c r="G7" s="646"/>
      <c r="H7" s="646"/>
      <c r="I7" s="643"/>
      <c r="N7" s="622"/>
      <c r="O7" s="622"/>
    </row>
    <row r="8" spans="2:15">
      <c r="E8" s="645"/>
      <c r="F8" s="644"/>
      <c r="G8" s="644"/>
      <c r="H8" s="644"/>
      <c r="I8" s="643"/>
      <c r="J8" s="643"/>
      <c r="M8" s="619"/>
      <c r="N8" s="622"/>
      <c r="O8" s="622"/>
    </row>
    <row r="9" spans="2:15">
      <c r="J9" s="620"/>
      <c r="L9" s="570" t="s">
        <v>1171</v>
      </c>
      <c r="M9" s="619">
        <v>1000000</v>
      </c>
    </row>
    <row r="10" spans="2:15" ht="41.4">
      <c r="B10" s="612" t="s">
        <v>1170</v>
      </c>
      <c r="C10" s="612" t="s">
        <v>890</v>
      </c>
      <c r="D10" s="612" t="s">
        <v>652</v>
      </c>
      <c r="E10" s="608" t="s">
        <v>1169</v>
      </c>
      <c r="F10" s="609" t="s">
        <v>809</v>
      </c>
      <c r="G10" s="608" t="s">
        <v>1168</v>
      </c>
      <c r="H10" s="608" t="s">
        <v>1167</v>
      </c>
      <c r="I10" s="610" t="s">
        <v>1166</v>
      </c>
      <c r="J10" s="608" t="s">
        <v>1165</v>
      </c>
      <c r="K10" s="609" t="s">
        <v>1164</v>
      </c>
      <c r="L10" s="608" t="s">
        <v>1163</v>
      </c>
      <c r="M10" s="618" t="s">
        <v>1162</v>
      </c>
      <c r="N10" s="642"/>
      <c r="O10" s="617"/>
    </row>
    <row r="11" spans="2:15">
      <c r="B11" s="612"/>
      <c r="C11" s="612"/>
      <c r="D11" s="612"/>
      <c r="E11" s="608"/>
      <c r="F11" s="609"/>
      <c r="G11" s="608"/>
      <c r="H11" s="608"/>
      <c r="I11" s="610"/>
      <c r="J11" s="608"/>
      <c r="K11" s="609"/>
      <c r="L11" s="608"/>
      <c r="M11" s="590">
        <f t="shared" ref="M11:M42" si="0">SUMPRODUCT(J12:J67,L13:L68)/L12</f>
        <v>897168.22728712065</v>
      </c>
      <c r="N11" s="639"/>
      <c r="O11" s="641"/>
    </row>
    <row r="12" spans="2:15">
      <c r="B12" s="600">
        <v>2023</v>
      </c>
      <c r="C12" s="599">
        <v>1</v>
      </c>
      <c r="D12" s="599">
        <v>65</v>
      </c>
      <c r="E12" s="598">
        <v>1000</v>
      </c>
      <c r="F12" s="597">
        <v>0.2</v>
      </c>
      <c r="G12" s="596">
        <f t="shared" ref="G12:G43" si="1">ROUND(E12*F12,0)</f>
        <v>200</v>
      </c>
      <c r="H12" s="595">
        <f t="shared" ref="H12:H43" si="2">E13</f>
        <v>800</v>
      </c>
      <c r="I12" s="594">
        <v>110</v>
      </c>
      <c r="J12" s="593">
        <f t="shared" ref="J12:J43" si="3">IF(C12&lt;=10,I12*$E$12,I12*E12)</f>
        <v>110000</v>
      </c>
      <c r="K12" s="592">
        <v>4.2500000000000003E-2</v>
      </c>
      <c r="L12" s="606">
        <v>1</v>
      </c>
      <c r="M12" s="590">
        <f t="shared" si="0"/>
        <v>825297.87694682332</v>
      </c>
      <c r="N12" s="639"/>
      <c r="O12" s="589"/>
    </row>
    <row r="13" spans="2:15">
      <c r="B13" s="600">
        <v>2024</v>
      </c>
      <c r="C13" s="599">
        <v>2</v>
      </c>
      <c r="D13" s="599">
        <v>66</v>
      </c>
      <c r="E13" s="598">
        <f t="shared" ref="E13:E44" si="4">ROUND(E12-G12,0)</f>
        <v>800</v>
      </c>
      <c r="F13" s="597">
        <v>0.2</v>
      </c>
      <c r="G13" s="596">
        <f t="shared" si="1"/>
        <v>160</v>
      </c>
      <c r="H13" s="595">
        <f t="shared" si="2"/>
        <v>640</v>
      </c>
      <c r="I13" s="594">
        <v>110</v>
      </c>
      <c r="J13" s="593">
        <f t="shared" si="3"/>
        <v>110000</v>
      </c>
      <c r="K13" s="592">
        <v>4.2500000000000003E-2</v>
      </c>
      <c r="L13" s="591">
        <f t="shared" ref="L13:L44" si="5">L12/(1+K12)</f>
        <v>0.95923261390887293</v>
      </c>
      <c r="M13" s="590">
        <f t="shared" si="0"/>
        <v>750373.0367170634</v>
      </c>
      <c r="N13" s="639"/>
      <c r="O13" s="589"/>
    </row>
    <row r="14" spans="2:15">
      <c r="B14" s="600">
        <v>2025</v>
      </c>
      <c r="C14" s="599">
        <v>3</v>
      </c>
      <c r="D14" s="599">
        <v>67</v>
      </c>
      <c r="E14" s="598">
        <f t="shared" si="4"/>
        <v>640</v>
      </c>
      <c r="F14" s="597">
        <v>0.2</v>
      </c>
      <c r="G14" s="596">
        <f t="shared" si="1"/>
        <v>128</v>
      </c>
      <c r="H14" s="595">
        <f t="shared" si="2"/>
        <v>512</v>
      </c>
      <c r="I14" s="594">
        <v>110</v>
      </c>
      <c r="J14" s="593">
        <f t="shared" si="3"/>
        <v>110000</v>
      </c>
      <c r="K14" s="592">
        <v>4.2500000000000003E-2</v>
      </c>
      <c r="L14" s="591">
        <f t="shared" si="5"/>
        <v>0.92012720758644884</v>
      </c>
      <c r="M14" s="590">
        <f t="shared" si="0"/>
        <v>672263.89077753853</v>
      </c>
      <c r="N14" s="639"/>
      <c r="O14" s="589"/>
    </row>
    <row r="15" spans="2:15">
      <c r="B15" s="600">
        <v>2026</v>
      </c>
      <c r="C15" s="599">
        <v>4</v>
      </c>
      <c r="D15" s="599">
        <v>68</v>
      </c>
      <c r="E15" s="598">
        <f t="shared" si="4"/>
        <v>512</v>
      </c>
      <c r="F15" s="640">
        <v>0.6</v>
      </c>
      <c r="G15" s="596">
        <f t="shared" si="1"/>
        <v>307</v>
      </c>
      <c r="H15" s="595">
        <f t="shared" si="2"/>
        <v>205</v>
      </c>
      <c r="I15" s="594">
        <v>110</v>
      </c>
      <c r="J15" s="593">
        <f t="shared" si="3"/>
        <v>110000</v>
      </c>
      <c r="K15" s="592">
        <v>4.2500000000000003E-2</v>
      </c>
      <c r="L15" s="591">
        <f t="shared" si="5"/>
        <v>0.88261602646182147</v>
      </c>
      <c r="M15" s="605">
        <f t="shared" si="0"/>
        <v>590835.1061355843</v>
      </c>
      <c r="N15" s="639"/>
      <c r="O15" s="589"/>
    </row>
    <row r="16" spans="2:15">
      <c r="B16" s="600">
        <v>2027</v>
      </c>
      <c r="C16" s="599">
        <v>5</v>
      </c>
      <c r="D16" s="599">
        <v>69</v>
      </c>
      <c r="E16" s="598">
        <f t="shared" si="4"/>
        <v>205</v>
      </c>
      <c r="F16" s="597">
        <v>0.2</v>
      </c>
      <c r="G16" s="596">
        <f t="shared" si="1"/>
        <v>41</v>
      </c>
      <c r="H16" s="595">
        <f t="shared" si="2"/>
        <v>164</v>
      </c>
      <c r="I16" s="594">
        <v>110</v>
      </c>
      <c r="J16" s="593">
        <f t="shared" si="3"/>
        <v>110000</v>
      </c>
      <c r="K16" s="592">
        <v>4.2500000000000003E-2</v>
      </c>
      <c r="L16" s="591">
        <f t="shared" si="5"/>
        <v>0.84663407814083591</v>
      </c>
      <c r="M16" s="590">
        <f t="shared" si="0"/>
        <v>505945.59814634675</v>
      </c>
      <c r="N16" s="639"/>
      <c r="O16" s="589"/>
    </row>
    <row r="17" spans="2:15">
      <c r="B17" s="600">
        <v>2028</v>
      </c>
      <c r="C17" s="599">
        <v>6</v>
      </c>
      <c r="D17" s="599">
        <v>70</v>
      </c>
      <c r="E17" s="598">
        <f t="shared" si="4"/>
        <v>164</v>
      </c>
      <c r="F17" s="597">
        <v>0.2</v>
      </c>
      <c r="G17" s="596">
        <f t="shared" si="1"/>
        <v>33</v>
      </c>
      <c r="H17" s="595">
        <f t="shared" si="2"/>
        <v>131</v>
      </c>
      <c r="I17" s="594">
        <v>110</v>
      </c>
      <c r="J17" s="593">
        <f t="shared" si="3"/>
        <v>110000</v>
      </c>
      <c r="K17" s="592">
        <v>4.2500000000000003E-2</v>
      </c>
      <c r="L17" s="591">
        <f t="shared" si="5"/>
        <v>0.81211901979936296</v>
      </c>
      <c r="M17" s="590">
        <f t="shared" si="0"/>
        <v>417448.28606756643</v>
      </c>
      <c r="N17" s="639"/>
      <c r="O17" s="589"/>
    </row>
    <row r="18" spans="2:15">
      <c r="B18" s="600">
        <v>2029</v>
      </c>
      <c r="C18" s="599">
        <v>7</v>
      </c>
      <c r="D18" s="599">
        <v>71</v>
      </c>
      <c r="E18" s="598">
        <f t="shared" si="4"/>
        <v>131</v>
      </c>
      <c r="F18" s="597">
        <v>0.2</v>
      </c>
      <c r="G18" s="596">
        <f t="shared" si="1"/>
        <v>26</v>
      </c>
      <c r="H18" s="595">
        <f t="shared" si="2"/>
        <v>105</v>
      </c>
      <c r="I18" s="594">
        <v>110</v>
      </c>
      <c r="J18" s="593">
        <f t="shared" si="3"/>
        <v>110000</v>
      </c>
      <c r="K18" s="592">
        <v>4.2500000000000003E-2</v>
      </c>
      <c r="L18" s="591">
        <f t="shared" si="5"/>
        <v>0.77901105016725469</v>
      </c>
      <c r="M18" s="590">
        <f t="shared" si="0"/>
        <v>325189.83822543785</v>
      </c>
      <c r="N18" s="639"/>
      <c r="O18" s="589"/>
    </row>
    <row r="19" spans="2:15">
      <c r="B19" s="600">
        <v>2030</v>
      </c>
      <c r="C19" s="599">
        <v>8</v>
      </c>
      <c r="D19" s="599">
        <v>72</v>
      </c>
      <c r="E19" s="598">
        <f t="shared" si="4"/>
        <v>105</v>
      </c>
      <c r="F19" s="597">
        <v>0.2</v>
      </c>
      <c r="G19" s="596">
        <f t="shared" si="1"/>
        <v>21</v>
      </c>
      <c r="H19" s="595">
        <f t="shared" si="2"/>
        <v>84</v>
      </c>
      <c r="I19" s="594">
        <v>110</v>
      </c>
      <c r="J19" s="593">
        <f t="shared" si="3"/>
        <v>110000</v>
      </c>
      <c r="K19" s="592">
        <v>4.2500000000000003E-2</v>
      </c>
      <c r="L19" s="591">
        <f t="shared" si="5"/>
        <v>0.74725280591583187</v>
      </c>
      <c r="M19" s="590">
        <f t="shared" si="0"/>
        <v>229010.40635001895</v>
      </c>
      <c r="N19" s="639"/>
      <c r="O19" s="589"/>
    </row>
    <row r="20" spans="2:15">
      <c r="B20" s="600">
        <v>2031</v>
      </c>
      <c r="C20" s="599">
        <v>9</v>
      </c>
      <c r="D20" s="599">
        <v>73</v>
      </c>
      <c r="E20" s="598">
        <f t="shared" si="4"/>
        <v>84</v>
      </c>
      <c r="F20" s="597">
        <v>0.2</v>
      </c>
      <c r="G20" s="596">
        <f t="shared" si="1"/>
        <v>17</v>
      </c>
      <c r="H20" s="595">
        <f t="shared" si="2"/>
        <v>67</v>
      </c>
      <c r="I20" s="594">
        <v>110</v>
      </c>
      <c r="J20" s="593">
        <f t="shared" si="3"/>
        <v>110000</v>
      </c>
      <c r="K20" s="592">
        <v>4.2500000000000003E-2</v>
      </c>
      <c r="L20" s="591">
        <f t="shared" si="5"/>
        <v>0.71678926226938311</v>
      </c>
      <c r="M20" s="590">
        <f t="shared" si="0"/>
        <v>128743.34861989476</v>
      </c>
      <c r="N20" s="639"/>
      <c r="O20" s="589"/>
    </row>
    <row r="21" spans="2:15">
      <c r="B21" s="600">
        <v>2032</v>
      </c>
      <c r="C21" s="599">
        <v>10</v>
      </c>
      <c r="D21" s="599">
        <v>74</v>
      </c>
      <c r="E21" s="598">
        <f t="shared" si="4"/>
        <v>67</v>
      </c>
      <c r="F21" s="597">
        <v>0.2</v>
      </c>
      <c r="G21" s="596">
        <f t="shared" si="1"/>
        <v>13</v>
      </c>
      <c r="H21" s="595">
        <f t="shared" si="2"/>
        <v>54</v>
      </c>
      <c r="I21" s="594">
        <v>110</v>
      </c>
      <c r="J21" s="593">
        <f t="shared" si="3"/>
        <v>110000</v>
      </c>
      <c r="K21" s="592">
        <v>4.2500000000000003E-2</v>
      </c>
      <c r="L21" s="591">
        <f t="shared" si="5"/>
        <v>0.68756763766847306</v>
      </c>
      <c r="M21" s="590">
        <f t="shared" si="0"/>
        <v>24214.940936240273</v>
      </c>
      <c r="N21" s="639"/>
      <c r="O21" s="589"/>
    </row>
    <row r="22" spans="2:15">
      <c r="B22" s="600">
        <v>2033</v>
      </c>
      <c r="C22" s="599">
        <v>11</v>
      </c>
      <c r="D22" s="599">
        <v>75</v>
      </c>
      <c r="E22" s="598">
        <f t="shared" si="4"/>
        <v>54</v>
      </c>
      <c r="F22" s="597">
        <v>0.2</v>
      </c>
      <c r="G22" s="596">
        <f t="shared" si="1"/>
        <v>11</v>
      </c>
      <c r="H22" s="595">
        <f t="shared" si="2"/>
        <v>43</v>
      </c>
      <c r="I22" s="594">
        <v>110</v>
      </c>
      <c r="J22" s="593">
        <f t="shared" si="3"/>
        <v>5940</v>
      </c>
      <c r="K22" s="592">
        <v>4.2500000000000003E-2</v>
      </c>
      <c r="L22" s="591">
        <f t="shared" si="5"/>
        <v>0.65953730231987828</v>
      </c>
      <c r="M22" s="590">
        <f t="shared" si="0"/>
        <v>19304.075926030484</v>
      </c>
      <c r="N22" s="639"/>
      <c r="O22" s="589"/>
    </row>
    <row r="23" spans="2:15">
      <c r="B23" s="600">
        <v>2034</v>
      </c>
      <c r="C23" s="599">
        <v>12</v>
      </c>
      <c r="D23" s="599">
        <v>76</v>
      </c>
      <c r="E23" s="598">
        <f t="shared" si="4"/>
        <v>43</v>
      </c>
      <c r="F23" s="597">
        <v>0.2</v>
      </c>
      <c r="G23" s="596">
        <f t="shared" si="1"/>
        <v>9</v>
      </c>
      <c r="H23" s="595">
        <f t="shared" si="2"/>
        <v>34</v>
      </c>
      <c r="I23" s="594">
        <v>110</v>
      </c>
      <c r="J23" s="593">
        <f t="shared" si="3"/>
        <v>4730</v>
      </c>
      <c r="K23" s="592">
        <v>4.2500000000000003E-2</v>
      </c>
      <c r="L23" s="591">
        <f t="shared" si="5"/>
        <v>0.63264969047470343</v>
      </c>
      <c r="M23" s="590">
        <f t="shared" si="0"/>
        <v>15394.499152886781</v>
      </c>
      <c r="N23" s="639"/>
      <c r="O23" s="589"/>
    </row>
    <row r="24" spans="2:15">
      <c r="B24" s="600">
        <v>2035</v>
      </c>
      <c r="C24" s="599">
        <v>13</v>
      </c>
      <c r="D24" s="599">
        <v>77</v>
      </c>
      <c r="E24" s="598">
        <f t="shared" si="4"/>
        <v>34</v>
      </c>
      <c r="F24" s="597">
        <v>0.2</v>
      </c>
      <c r="G24" s="596">
        <f t="shared" si="1"/>
        <v>7</v>
      </c>
      <c r="H24" s="595">
        <f t="shared" si="2"/>
        <v>27</v>
      </c>
      <c r="I24" s="594">
        <v>110</v>
      </c>
      <c r="J24" s="593">
        <f t="shared" si="3"/>
        <v>3740</v>
      </c>
      <c r="K24" s="592">
        <v>4.2500000000000003E-2</v>
      </c>
      <c r="L24" s="591">
        <f t="shared" si="5"/>
        <v>0.6068582162826891</v>
      </c>
      <c r="M24" s="590">
        <f t="shared" si="0"/>
        <v>12308.765366884467</v>
      </c>
      <c r="N24" s="639"/>
      <c r="O24" s="589"/>
    </row>
    <row r="25" spans="2:15">
      <c r="B25" s="600">
        <v>2036</v>
      </c>
      <c r="C25" s="599">
        <v>14</v>
      </c>
      <c r="D25" s="599">
        <v>78</v>
      </c>
      <c r="E25" s="598">
        <f t="shared" si="4"/>
        <v>27</v>
      </c>
      <c r="F25" s="597">
        <v>0.2</v>
      </c>
      <c r="G25" s="596">
        <f t="shared" si="1"/>
        <v>5</v>
      </c>
      <c r="H25" s="595">
        <f t="shared" si="2"/>
        <v>22</v>
      </c>
      <c r="I25" s="594">
        <v>110</v>
      </c>
      <c r="J25" s="593">
        <f t="shared" si="3"/>
        <v>2970</v>
      </c>
      <c r="K25" s="592">
        <v>4.2500000000000003E-2</v>
      </c>
      <c r="L25" s="591">
        <f t="shared" si="5"/>
        <v>0.58211819307692003</v>
      </c>
      <c r="M25" s="590">
        <f t="shared" si="0"/>
        <v>9861.8878949770569</v>
      </c>
      <c r="N25" s="639"/>
      <c r="O25" s="589"/>
    </row>
    <row r="26" spans="2:15">
      <c r="B26" s="600">
        <v>2037</v>
      </c>
      <c r="C26" s="599">
        <v>15</v>
      </c>
      <c r="D26" s="599">
        <v>79</v>
      </c>
      <c r="E26" s="598">
        <f t="shared" si="4"/>
        <v>22</v>
      </c>
      <c r="F26" s="597">
        <v>0.2</v>
      </c>
      <c r="G26" s="596">
        <f t="shared" si="1"/>
        <v>4</v>
      </c>
      <c r="H26" s="595">
        <f t="shared" si="2"/>
        <v>18</v>
      </c>
      <c r="I26" s="594">
        <v>110</v>
      </c>
      <c r="J26" s="593">
        <f t="shared" si="3"/>
        <v>2420</v>
      </c>
      <c r="K26" s="592">
        <v>4.2500000000000003E-2</v>
      </c>
      <c r="L26" s="591">
        <f t="shared" si="5"/>
        <v>0.55838675594908393</v>
      </c>
      <c r="M26" s="590">
        <f t="shared" si="0"/>
        <v>7861.018130513582</v>
      </c>
      <c r="N26" s="639"/>
      <c r="O26" s="589"/>
    </row>
    <row r="27" spans="2:15">
      <c r="B27" s="600">
        <v>2038</v>
      </c>
      <c r="C27" s="599">
        <v>16</v>
      </c>
      <c r="D27" s="599">
        <v>80</v>
      </c>
      <c r="E27" s="598">
        <f t="shared" si="4"/>
        <v>18</v>
      </c>
      <c r="F27" s="597">
        <v>0.2</v>
      </c>
      <c r="G27" s="596">
        <f t="shared" si="1"/>
        <v>4</v>
      </c>
      <c r="H27" s="595">
        <f t="shared" si="2"/>
        <v>14</v>
      </c>
      <c r="I27" s="594">
        <v>110</v>
      </c>
      <c r="J27" s="593">
        <f t="shared" si="3"/>
        <v>1980</v>
      </c>
      <c r="K27" s="592">
        <v>4.2500000000000003E-2</v>
      </c>
      <c r="L27" s="591">
        <f t="shared" si="5"/>
        <v>0.53562278748113568</v>
      </c>
      <c r="M27" s="590">
        <f t="shared" si="0"/>
        <v>6215.1114010604106</v>
      </c>
      <c r="N27" s="639"/>
      <c r="O27" s="589"/>
    </row>
    <row r="28" spans="2:15">
      <c r="B28" s="600">
        <v>2039</v>
      </c>
      <c r="C28" s="599">
        <v>17</v>
      </c>
      <c r="D28" s="599">
        <v>81</v>
      </c>
      <c r="E28" s="598">
        <f t="shared" si="4"/>
        <v>14</v>
      </c>
      <c r="F28" s="597">
        <v>0.2</v>
      </c>
      <c r="G28" s="596">
        <f t="shared" si="1"/>
        <v>3</v>
      </c>
      <c r="H28" s="595">
        <f t="shared" si="2"/>
        <v>11</v>
      </c>
      <c r="I28" s="594">
        <v>110</v>
      </c>
      <c r="J28" s="593">
        <f t="shared" si="3"/>
        <v>1540</v>
      </c>
      <c r="K28" s="592">
        <v>4.2500000000000003E-2</v>
      </c>
      <c r="L28" s="591">
        <f t="shared" si="5"/>
        <v>0.51378684650468653</v>
      </c>
      <c r="M28" s="590">
        <f t="shared" si="0"/>
        <v>4939.2536356054779</v>
      </c>
      <c r="N28" s="639"/>
      <c r="O28" s="589"/>
    </row>
    <row r="29" spans="2:15">
      <c r="B29" s="600">
        <v>2040</v>
      </c>
      <c r="C29" s="599">
        <v>18</v>
      </c>
      <c r="D29" s="599">
        <v>82</v>
      </c>
      <c r="E29" s="598">
        <f t="shared" si="4"/>
        <v>11</v>
      </c>
      <c r="F29" s="597">
        <v>0.2</v>
      </c>
      <c r="G29" s="596">
        <f t="shared" si="1"/>
        <v>2</v>
      </c>
      <c r="H29" s="595">
        <f t="shared" si="2"/>
        <v>9</v>
      </c>
      <c r="I29" s="594">
        <v>110</v>
      </c>
      <c r="J29" s="593">
        <f t="shared" si="3"/>
        <v>1210</v>
      </c>
      <c r="K29" s="592">
        <v>4.2500000000000003E-2</v>
      </c>
      <c r="L29" s="591">
        <f t="shared" si="5"/>
        <v>0.49284109976468732</v>
      </c>
      <c r="M29" s="590">
        <f t="shared" si="0"/>
        <v>3939.1719151187108</v>
      </c>
      <c r="N29" s="639"/>
      <c r="O29" s="589"/>
    </row>
    <row r="30" spans="2:15">
      <c r="B30" s="600">
        <v>2041</v>
      </c>
      <c r="C30" s="599">
        <v>19</v>
      </c>
      <c r="D30" s="599">
        <v>83</v>
      </c>
      <c r="E30" s="598">
        <f t="shared" si="4"/>
        <v>9</v>
      </c>
      <c r="F30" s="597">
        <v>0.2</v>
      </c>
      <c r="G30" s="596">
        <f t="shared" si="1"/>
        <v>2</v>
      </c>
      <c r="H30" s="595">
        <f t="shared" si="2"/>
        <v>7</v>
      </c>
      <c r="I30" s="594">
        <v>110</v>
      </c>
      <c r="J30" s="593">
        <f t="shared" si="3"/>
        <v>990</v>
      </c>
      <c r="K30" s="592">
        <v>4.2500000000000003E-2</v>
      </c>
      <c r="L30" s="591">
        <f t="shared" si="5"/>
        <v>0.47274925636900461</v>
      </c>
      <c r="M30" s="590">
        <f t="shared" si="0"/>
        <v>3116.5867215112553</v>
      </c>
      <c r="N30" s="639"/>
      <c r="O30" s="589"/>
    </row>
    <row r="31" spans="2:15">
      <c r="B31" s="600">
        <v>2042</v>
      </c>
      <c r="C31" s="599">
        <v>20</v>
      </c>
      <c r="D31" s="599">
        <v>84</v>
      </c>
      <c r="E31" s="598">
        <f t="shared" si="4"/>
        <v>7</v>
      </c>
      <c r="F31" s="597">
        <v>0.2</v>
      </c>
      <c r="G31" s="596">
        <f t="shared" si="1"/>
        <v>1</v>
      </c>
      <c r="H31" s="595">
        <f t="shared" si="2"/>
        <v>6</v>
      </c>
      <c r="I31" s="594">
        <v>110</v>
      </c>
      <c r="J31" s="593">
        <f t="shared" si="3"/>
        <v>770</v>
      </c>
      <c r="K31" s="592">
        <v>4.2500000000000003E-2</v>
      </c>
      <c r="L31" s="591">
        <f t="shared" si="5"/>
        <v>0.45347650491031616</v>
      </c>
      <c r="M31" s="590">
        <f t="shared" si="0"/>
        <v>2479.041657175484</v>
      </c>
      <c r="N31" s="639"/>
      <c r="O31" s="589"/>
    </row>
    <row r="32" spans="2:15">
      <c r="B32" s="600">
        <v>2043</v>
      </c>
      <c r="C32" s="599">
        <v>21</v>
      </c>
      <c r="D32" s="599">
        <v>85</v>
      </c>
      <c r="E32" s="598">
        <f t="shared" si="4"/>
        <v>6</v>
      </c>
      <c r="F32" s="597">
        <v>0.2</v>
      </c>
      <c r="G32" s="596">
        <f t="shared" si="1"/>
        <v>1</v>
      </c>
      <c r="H32" s="595">
        <f t="shared" si="2"/>
        <v>5</v>
      </c>
      <c r="I32" s="594">
        <v>110</v>
      </c>
      <c r="J32" s="593">
        <f t="shared" si="3"/>
        <v>660</v>
      </c>
      <c r="K32" s="592">
        <v>4.2500000000000003E-2</v>
      </c>
      <c r="L32" s="591">
        <f t="shared" si="5"/>
        <v>0.43498945315138243</v>
      </c>
      <c r="M32" s="590">
        <f t="shared" si="0"/>
        <v>1924.4009276054414</v>
      </c>
      <c r="N32" s="639"/>
      <c r="O32" s="589"/>
    </row>
    <row r="33" spans="2:15">
      <c r="B33" s="600">
        <v>2044</v>
      </c>
      <c r="C33" s="599">
        <v>22</v>
      </c>
      <c r="D33" s="599">
        <v>86</v>
      </c>
      <c r="E33" s="598">
        <f t="shared" si="4"/>
        <v>5</v>
      </c>
      <c r="F33" s="597">
        <v>0.2</v>
      </c>
      <c r="G33" s="596">
        <f t="shared" si="1"/>
        <v>1</v>
      </c>
      <c r="H33" s="595">
        <f t="shared" si="2"/>
        <v>4</v>
      </c>
      <c r="I33" s="594">
        <v>110</v>
      </c>
      <c r="J33" s="593">
        <f t="shared" si="3"/>
        <v>550</v>
      </c>
      <c r="K33" s="592">
        <v>4.2500000000000003E-2</v>
      </c>
      <c r="L33" s="591">
        <f t="shared" si="5"/>
        <v>0.41725607016919181</v>
      </c>
      <c r="M33" s="590">
        <f t="shared" si="0"/>
        <v>1456.1879670286726</v>
      </c>
      <c r="N33" s="639"/>
      <c r="O33" s="589"/>
    </row>
    <row r="34" spans="2:15">
      <c r="B34" s="600">
        <v>2045</v>
      </c>
      <c r="C34" s="599">
        <v>23</v>
      </c>
      <c r="D34" s="599">
        <v>87</v>
      </c>
      <c r="E34" s="598">
        <f t="shared" si="4"/>
        <v>4</v>
      </c>
      <c r="F34" s="597">
        <v>0.2</v>
      </c>
      <c r="G34" s="596">
        <f t="shared" si="1"/>
        <v>1</v>
      </c>
      <c r="H34" s="595">
        <f t="shared" si="2"/>
        <v>3</v>
      </c>
      <c r="I34" s="594">
        <v>110</v>
      </c>
      <c r="J34" s="593">
        <f t="shared" si="3"/>
        <v>440</v>
      </c>
      <c r="K34" s="592">
        <v>4.2500000000000003E-2</v>
      </c>
      <c r="L34" s="591">
        <f t="shared" si="5"/>
        <v>0.40024563085773796</v>
      </c>
      <c r="M34" s="590">
        <f t="shared" si="0"/>
        <v>1078.0759556273913</v>
      </c>
      <c r="N34" s="639"/>
      <c r="O34" s="589"/>
    </row>
    <row r="35" spans="2:15">
      <c r="B35" s="600">
        <v>2046</v>
      </c>
      <c r="C35" s="599">
        <v>24</v>
      </c>
      <c r="D35" s="599">
        <v>88</v>
      </c>
      <c r="E35" s="598">
        <f t="shared" si="4"/>
        <v>3</v>
      </c>
      <c r="F35" s="597">
        <v>0.2</v>
      </c>
      <c r="G35" s="596">
        <f t="shared" si="1"/>
        <v>1</v>
      </c>
      <c r="H35" s="595">
        <f t="shared" si="2"/>
        <v>2</v>
      </c>
      <c r="I35" s="594">
        <v>110</v>
      </c>
      <c r="J35" s="593">
        <f t="shared" si="3"/>
        <v>330</v>
      </c>
      <c r="K35" s="592">
        <v>4.2500000000000003E-2</v>
      </c>
      <c r="L35" s="591">
        <f t="shared" si="5"/>
        <v>0.3839286626932738</v>
      </c>
      <c r="M35" s="590">
        <f t="shared" si="0"/>
        <v>793.89418374155548</v>
      </c>
      <c r="N35" s="639"/>
      <c r="O35" s="589"/>
    </row>
    <row r="36" spans="2:15">
      <c r="B36" s="600">
        <v>2047</v>
      </c>
      <c r="C36" s="599">
        <v>25</v>
      </c>
      <c r="D36" s="599">
        <v>89</v>
      </c>
      <c r="E36" s="598">
        <f t="shared" si="4"/>
        <v>2</v>
      </c>
      <c r="F36" s="597">
        <v>0.2</v>
      </c>
      <c r="G36" s="596">
        <f t="shared" si="1"/>
        <v>0</v>
      </c>
      <c r="H36" s="595">
        <f t="shared" si="2"/>
        <v>2</v>
      </c>
      <c r="I36" s="594">
        <v>110</v>
      </c>
      <c r="J36" s="593">
        <f t="shared" si="3"/>
        <v>220</v>
      </c>
      <c r="K36" s="592">
        <v>4.2500000000000003E-2</v>
      </c>
      <c r="L36" s="591">
        <f t="shared" si="5"/>
        <v>0.36827689466980701</v>
      </c>
      <c r="M36" s="590">
        <f t="shared" si="0"/>
        <v>607.63468655057147</v>
      </c>
      <c r="N36" s="639"/>
      <c r="O36" s="589"/>
    </row>
    <row r="37" spans="2:15">
      <c r="B37" s="600">
        <v>2048</v>
      </c>
      <c r="C37" s="599">
        <v>26</v>
      </c>
      <c r="D37" s="599">
        <v>90</v>
      </c>
      <c r="E37" s="598">
        <f t="shared" si="4"/>
        <v>2</v>
      </c>
      <c r="F37" s="597">
        <v>0.2</v>
      </c>
      <c r="G37" s="596">
        <f t="shared" si="1"/>
        <v>0</v>
      </c>
      <c r="H37" s="595">
        <f t="shared" si="2"/>
        <v>2</v>
      </c>
      <c r="I37" s="594">
        <v>110</v>
      </c>
      <c r="J37" s="593">
        <f t="shared" si="3"/>
        <v>220</v>
      </c>
      <c r="K37" s="592">
        <v>4.2500000000000003E-2</v>
      </c>
      <c r="L37" s="591">
        <f t="shared" si="5"/>
        <v>0.35326320831636165</v>
      </c>
      <c r="M37" s="590">
        <f t="shared" si="0"/>
        <v>413.45916072897074</v>
      </c>
      <c r="N37" s="639"/>
      <c r="O37" s="589"/>
    </row>
    <row r="38" spans="2:15">
      <c r="B38" s="600">
        <v>2049</v>
      </c>
      <c r="C38" s="599">
        <v>27</v>
      </c>
      <c r="D38" s="599">
        <v>91</v>
      </c>
      <c r="E38" s="598">
        <f t="shared" si="4"/>
        <v>2</v>
      </c>
      <c r="F38" s="597">
        <v>0.2</v>
      </c>
      <c r="G38" s="596">
        <f t="shared" si="1"/>
        <v>0</v>
      </c>
      <c r="H38" s="595">
        <f t="shared" si="2"/>
        <v>2</v>
      </c>
      <c r="I38" s="594">
        <v>110</v>
      </c>
      <c r="J38" s="593">
        <f t="shared" si="3"/>
        <v>220</v>
      </c>
      <c r="K38" s="592">
        <v>4.2500000000000003E-2</v>
      </c>
      <c r="L38" s="591">
        <f t="shared" si="5"/>
        <v>0.33886159071113831</v>
      </c>
      <c r="M38" s="590">
        <f t="shared" si="0"/>
        <v>211.03117505995203</v>
      </c>
      <c r="N38" s="639"/>
      <c r="O38" s="589"/>
    </row>
    <row r="39" spans="2:15">
      <c r="B39" s="600">
        <v>2050</v>
      </c>
      <c r="C39" s="599">
        <v>28</v>
      </c>
      <c r="D39" s="599">
        <v>92</v>
      </c>
      <c r="E39" s="598">
        <f t="shared" si="4"/>
        <v>2</v>
      </c>
      <c r="F39" s="597">
        <v>1</v>
      </c>
      <c r="G39" s="596">
        <f t="shared" si="1"/>
        <v>2</v>
      </c>
      <c r="H39" s="595">
        <f t="shared" si="2"/>
        <v>0</v>
      </c>
      <c r="I39" s="594">
        <v>110</v>
      </c>
      <c r="J39" s="593">
        <f t="shared" si="3"/>
        <v>220</v>
      </c>
      <c r="K39" s="592">
        <v>4.2500000000000003E-2</v>
      </c>
      <c r="L39" s="591">
        <f t="shared" si="5"/>
        <v>0.32504708941116384</v>
      </c>
      <c r="M39" s="590">
        <f t="shared" si="0"/>
        <v>0</v>
      </c>
      <c r="N39" s="639"/>
      <c r="O39" s="589"/>
    </row>
    <row r="40" spans="2:15">
      <c r="B40" s="600">
        <v>0</v>
      </c>
      <c r="C40" s="599">
        <v>29</v>
      </c>
      <c r="D40" s="599">
        <v>93</v>
      </c>
      <c r="E40" s="598">
        <f t="shared" si="4"/>
        <v>0</v>
      </c>
      <c r="F40" s="597">
        <v>1</v>
      </c>
      <c r="G40" s="596">
        <f t="shared" si="1"/>
        <v>0</v>
      </c>
      <c r="H40" s="595">
        <f t="shared" si="2"/>
        <v>0</v>
      </c>
      <c r="I40" s="594">
        <v>110</v>
      </c>
      <c r="J40" s="593">
        <f t="shared" si="3"/>
        <v>0</v>
      </c>
      <c r="K40" s="592">
        <v>4.2500000000000003E-2</v>
      </c>
      <c r="L40" s="591">
        <f t="shared" si="5"/>
        <v>0.31179576921934182</v>
      </c>
      <c r="M40" s="590">
        <f t="shared" si="0"/>
        <v>0</v>
      </c>
      <c r="N40" s="639"/>
      <c r="O40" s="589"/>
    </row>
    <row r="41" spans="2:15">
      <c r="B41" s="600">
        <v>0</v>
      </c>
      <c r="C41" s="599">
        <v>30</v>
      </c>
      <c r="D41" s="599">
        <v>94</v>
      </c>
      <c r="E41" s="598">
        <f t="shared" si="4"/>
        <v>0</v>
      </c>
      <c r="F41" s="597">
        <v>1</v>
      </c>
      <c r="G41" s="596">
        <f t="shared" si="1"/>
        <v>0</v>
      </c>
      <c r="H41" s="595">
        <f t="shared" si="2"/>
        <v>0</v>
      </c>
      <c r="I41" s="594">
        <v>110</v>
      </c>
      <c r="J41" s="593">
        <f t="shared" si="3"/>
        <v>0</v>
      </c>
      <c r="K41" s="592">
        <v>4.2500000000000003E-2</v>
      </c>
      <c r="L41" s="591">
        <f t="shared" si="5"/>
        <v>0.29908467071399697</v>
      </c>
      <c r="M41" s="590">
        <f t="shared" si="0"/>
        <v>0</v>
      </c>
      <c r="N41" s="639"/>
      <c r="O41" s="589"/>
    </row>
    <row r="42" spans="2:15">
      <c r="B42" s="600">
        <v>0</v>
      </c>
      <c r="C42" s="599">
        <v>31</v>
      </c>
      <c r="D42" s="599">
        <v>95</v>
      </c>
      <c r="E42" s="598">
        <f t="shared" si="4"/>
        <v>0</v>
      </c>
      <c r="F42" s="597">
        <v>1</v>
      </c>
      <c r="G42" s="596">
        <f t="shared" si="1"/>
        <v>0</v>
      </c>
      <c r="H42" s="595">
        <f t="shared" si="2"/>
        <v>0</v>
      </c>
      <c r="I42" s="594">
        <v>110</v>
      </c>
      <c r="J42" s="593">
        <f t="shared" si="3"/>
        <v>0</v>
      </c>
      <c r="K42" s="592">
        <v>4.2500000000000003E-2</v>
      </c>
      <c r="L42" s="591">
        <f t="shared" si="5"/>
        <v>0.28689177046906184</v>
      </c>
      <c r="M42" s="590">
        <f t="shared" si="0"/>
        <v>0</v>
      </c>
      <c r="N42" s="639"/>
      <c r="O42" s="589"/>
    </row>
    <row r="43" spans="2:15">
      <c r="B43" s="600">
        <v>0</v>
      </c>
      <c r="C43" s="599">
        <v>32</v>
      </c>
      <c r="D43" s="599">
        <v>96</v>
      </c>
      <c r="E43" s="598">
        <f t="shared" si="4"/>
        <v>0</v>
      </c>
      <c r="F43" s="597">
        <v>1</v>
      </c>
      <c r="G43" s="596">
        <f t="shared" si="1"/>
        <v>0</v>
      </c>
      <c r="H43" s="595">
        <f t="shared" si="2"/>
        <v>0</v>
      </c>
      <c r="I43" s="594">
        <v>110</v>
      </c>
      <c r="J43" s="593">
        <f t="shared" si="3"/>
        <v>0</v>
      </c>
      <c r="K43" s="592">
        <v>4.2500000000000003E-2</v>
      </c>
      <c r="L43" s="591">
        <f t="shared" si="5"/>
        <v>0.27519594289598259</v>
      </c>
      <c r="M43" s="590">
        <f t="shared" ref="M43:M67" si="6">SUMPRODUCT(J44:J99,L45:L100)/L44</f>
        <v>0</v>
      </c>
      <c r="N43" s="639"/>
      <c r="O43" s="589"/>
    </row>
    <row r="44" spans="2:15">
      <c r="B44" s="600">
        <v>0</v>
      </c>
      <c r="C44" s="599">
        <v>33</v>
      </c>
      <c r="D44" s="599">
        <v>97</v>
      </c>
      <c r="E44" s="598">
        <f t="shared" si="4"/>
        <v>0</v>
      </c>
      <c r="F44" s="597">
        <v>1</v>
      </c>
      <c r="G44" s="596">
        <f t="shared" ref="G44:G67" si="7">ROUND(E44*F44,0)</f>
        <v>0</v>
      </c>
      <c r="H44" s="595">
        <f t="shared" ref="H44:H67" si="8">E45</f>
        <v>0</v>
      </c>
      <c r="I44" s="594">
        <v>110</v>
      </c>
      <c r="J44" s="593">
        <f t="shared" ref="J44:J67" si="9">IF(C44&lt;=10,I44*$E$12,I44*E44)</f>
        <v>0</v>
      </c>
      <c r="K44" s="592">
        <v>4.2500000000000003E-2</v>
      </c>
      <c r="L44" s="591">
        <f t="shared" si="5"/>
        <v>0.26397692364123032</v>
      </c>
      <c r="M44" s="590">
        <f t="shared" si="6"/>
        <v>0</v>
      </c>
      <c r="N44" s="639"/>
      <c r="O44" s="589"/>
    </row>
    <row r="45" spans="2:15">
      <c r="B45" s="600">
        <v>0</v>
      </c>
      <c r="C45" s="599">
        <v>34</v>
      </c>
      <c r="D45" s="599">
        <v>98</v>
      </c>
      <c r="E45" s="598">
        <f t="shared" ref="E45:E67" si="10">ROUND(E44-G44,0)</f>
        <v>0</v>
      </c>
      <c r="F45" s="597">
        <v>1</v>
      </c>
      <c r="G45" s="596">
        <f t="shared" si="7"/>
        <v>0</v>
      </c>
      <c r="H45" s="595">
        <f t="shared" si="8"/>
        <v>0</v>
      </c>
      <c r="I45" s="594">
        <v>110</v>
      </c>
      <c r="J45" s="593">
        <f t="shared" si="9"/>
        <v>0</v>
      </c>
      <c r="K45" s="592">
        <v>4.2500000000000003E-2</v>
      </c>
      <c r="L45" s="591">
        <f t="shared" ref="L45:L68" si="11">L44/(1+K44)</f>
        <v>0.25321527447600028</v>
      </c>
      <c r="M45" s="590">
        <f t="shared" si="6"/>
        <v>0</v>
      </c>
      <c r="N45" s="639"/>
      <c r="O45" s="589"/>
    </row>
    <row r="46" spans="2:15">
      <c r="B46" s="600">
        <v>0</v>
      </c>
      <c r="C46" s="599">
        <v>35</v>
      </c>
      <c r="D46" s="599">
        <v>99</v>
      </c>
      <c r="E46" s="598">
        <f t="shared" si="10"/>
        <v>0</v>
      </c>
      <c r="F46" s="597">
        <v>1</v>
      </c>
      <c r="G46" s="596">
        <f t="shared" si="7"/>
        <v>0</v>
      </c>
      <c r="H46" s="595">
        <f t="shared" si="8"/>
        <v>0</v>
      </c>
      <c r="I46" s="594">
        <v>110</v>
      </c>
      <c r="J46" s="593">
        <f t="shared" si="9"/>
        <v>0</v>
      </c>
      <c r="K46" s="592">
        <v>4.2500000000000003E-2</v>
      </c>
      <c r="L46" s="591">
        <f t="shared" si="11"/>
        <v>0.24289234961726647</v>
      </c>
      <c r="M46" s="590">
        <f t="shared" si="6"/>
        <v>0</v>
      </c>
      <c r="N46" s="639"/>
      <c r="O46" s="589"/>
    </row>
    <row r="47" spans="2:15">
      <c r="B47" s="600">
        <v>0</v>
      </c>
      <c r="C47" s="599">
        <v>36</v>
      </c>
      <c r="D47" s="599">
        <v>100</v>
      </c>
      <c r="E47" s="598">
        <f t="shared" si="10"/>
        <v>0</v>
      </c>
      <c r="F47" s="597">
        <v>1</v>
      </c>
      <c r="G47" s="596">
        <f t="shared" si="7"/>
        <v>0</v>
      </c>
      <c r="H47" s="595">
        <f t="shared" si="8"/>
        <v>0</v>
      </c>
      <c r="I47" s="594">
        <v>110</v>
      </c>
      <c r="J47" s="593">
        <f t="shared" si="9"/>
        <v>0</v>
      </c>
      <c r="K47" s="592">
        <v>4.2500000000000003E-2</v>
      </c>
      <c r="L47" s="591">
        <f t="shared" si="11"/>
        <v>0.23299026342183835</v>
      </c>
      <c r="M47" s="590">
        <f t="shared" si="6"/>
        <v>0</v>
      </c>
      <c r="N47" s="639"/>
      <c r="O47" s="589"/>
    </row>
    <row r="48" spans="2:15">
      <c r="B48" s="600">
        <v>0</v>
      </c>
      <c r="C48" s="599">
        <v>37</v>
      </c>
      <c r="D48" s="599">
        <v>101</v>
      </c>
      <c r="E48" s="598">
        <f t="shared" si="10"/>
        <v>0</v>
      </c>
      <c r="F48" s="597">
        <v>1</v>
      </c>
      <c r="G48" s="596">
        <f t="shared" si="7"/>
        <v>0</v>
      </c>
      <c r="H48" s="595">
        <f t="shared" si="8"/>
        <v>0</v>
      </c>
      <c r="I48" s="594">
        <v>110</v>
      </c>
      <c r="J48" s="593">
        <f t="shared" si="9"/>
        <v>0</v>
      </c>
      <c r="K48" s="592">
        <v>4.2500000000000003E-2</v>
      </c>
      <c r="L48" s="591">
        <f t="shared" si="11"/>
        <v>0.22349185939744687</v>
      </c>
      <c r="M48" s="590">
        <f t="shared" si="6"/>
        <v>0</v>
      </c>
      <c r="N48" s="639"/>
      <c r="O48" s="589"/>
    </row>
    <row r="49" spans="2:15">
      <c r="B49" s="600">
        <v>0</v>
      </c>
      <c r="C49" s="599">
        <v>38</v>
      </c>
      <c r="D49" s="599">
        <v>102</v>
      </c>
      <c r="E49" s="598">
        <f t="shared" si="10"/>
        <v>0</v>
      </c>
      <c r="F49" s="597">
        <v>1</v>
      </c>
      <c r="G49" s="596">
        <f t="shared" si="7"/>
        <v>0</v>
      </c>
      <c r="H49" s="595">
        <f t="shared" si="8"/>
        <v>0</v>
      </c>
      <c r="I49" s="594">
        <v>110</v>
      </c>
      <c r="J49" s="593">
        <f t="shared" si="9"/>
        <v>0</v>
      </c>
      <c r="K49" s="592">
        <v>4.2500000000000003E-2</v>
      </c>
      <c r="L49" s="591">
        <f t="shared" si="11"/>
        <v>0.21438068047716727</v>
      </c>
      <c r="M49" s="590">
        <f t="shared" si="6"/>
        <v>0</v>
      </c>
      <c r="N49" s="639"/>
      <c r="O49" s="589"/>
    </row>
    <row r="50" spans="2:15">
      <c r="B50" s="600">
        <v>0</v>
      </c>
      <c r="C50" s="599">
        <v>39</v>
      </c>
      <c r="D50" s="599">
        <v>103</v>
      </c>
      <c r="E50" s="598">
        <f t="shared" si="10"/>
        <v>0</v>
      </c>
      <c r="F50" s="597">
        <v>1</v>
      </c>
      <c r="G50" s="596">
        <f t="shared" si="7"/>
        <v>0</v>
      </c>
      <c r="H50" s="595">
        <f t="shared" si="8"/>
        <v>0</v>
      </c>
      <c r="I50" s="594">
        <v>110</v>
      </c>
      <c r="J50" s="593">
        <f t="shared" si="9"/>
        <v>0</v>
      </c>
      <c r="K50" s="592">
        <v>4.2500000000000003E-2</v>
      </c>
      <c r="L50" s="591">
        <f t="shared" si="11"/>
        <v>0.20564094050567605</v>
      </c>
      <c r="M50" s="590">
        <f t="shared" si="6"/>
        <v>0</v>
      </c>
      <c r="N50" s="639"/>
      <c r="O50" s="589"/>
    </row>
    <row r="51" spans="2:15">
      <c r="B51" s="600">
        <v>0</v>
      </c>
      <c r="C51" s="599">
        <v>40</v>
      </c>
      <c r="D51" s="599">
        <v>104</v>
      </c>
      <c r="E51" s="598">
        <f t="shared" si="10"/>
        <v>0</v>
      </c>
      <c r="F51" s="597">
        <v>1</v>
      </c>
      <c r="G51" s="596">
        <f t="shared" si="7"/>
        <v>0</v>
      </c>
      <c r="H51" s="595">
        <f t="shared" si="8"/>
        <v>0</v>
      </c>
      <c r="I51" s="594">
        <v>110</v>
      </c>
      <c r="J51" s="593">
        <f t="shared" si="9"/>
        <v>0</v>
      </c>
      <c r="K51" s="592">
        <v>4.2500000000000003E-2</v>
      </c>
      <c r="L51" s="591">
        <f t="shared" si="11"/>
        <v>0.19725749688793867</v>
      </c>
      <c r="M51" s="590">
        <f t="shared" si="6"/>
        <v>0</v>
      </c>
      <c r="N51" s="639"/>
      <c r="O51" s="589"/>
    </row>
    <row r="52" spans="2:15">
      <c r="B52" s="600">
        <v>0</v>
      </c>
      <c r="C52" s="599">
        <v>41</v>
      </c>
      <c r="D52" s="599">
        <v>105</v>
      </c>
      <c r="E52" s="598">
        <f t="shared" si="10"/>
        <v>0</v>
      </c>
      <c r="F52" s="597">
        <v>1</v>
      </c>
      <c r="G52" s="596">
        <f t="shared" si="7"/>
        <v>0</v>
      </c>
      <c r="H52" s="595">
        <f t="shared" si="8"/>
        <v>0</v>
      </c>
      <c r="I52" s="594">
        <v>110</v>
      </c>
      <c r="J52" s="593">
        <f t="shared" si="9"/>
        <v>0</v>
      </c>
      <c r="K52" s="592">
        <v>4.2500000000000003E-2</v>
      </c>
      <c r="L52" s="591">
        <f t="shared" si="11"/>
        <v>0.18921582435293877</v>
      </c>
      <c r="M52" s="590">
        <f t="shared" si="6"/>
        <v>0</v>
      </c>
      <c r="N52" s="639"/>
      <c r="O52" s="589"/>
    </row>
    <row r="53" spans="2:15">
      <c r="B53" s="600">
        <v>0</v>
      </c>
      <c r="C53" s="599">
        <v>42</v>
      </c>
      <c r="D53" s="599">
        <v>106</v>
      </c>
      <c r="E53" s="598">
        <f t="shared" si="10"/>
        <v>0</v>
      </c>
      <c r="F53" s="597">
        <v>1</v>
      </c>
      <c r="G53" s="596">
        <f t="shared" si="7"/>
        <v>0</v>
      </c>
      <c r="H53" s="595">
        <f t="shared" si="8"/>
        <v>0</v>
      </c>
      <c r="I53" s="594">
        <v>110</v>
      </c>
      <c r="J53" s="593">
        <f t="shared" si="9"/>
        <v>0</v>
      </c>
      <c r="K53" s="592">
        <v>4.2500000000000003E-2</v>
      </c>
      <c r="L53" s="591">
        <f t="shared" si="11"/>
        <v>0.18150198978699161</v>
      </c>
      <c r="M53" s="590">
        <f t="shared" si="6"/>
        <v>0</v>
      </c>
      <c r="N53" s="639"/>
      <c r="O53" s="589"/>
    </row>
    <row r="54" spans="2:15">
      <c r="B54" s="600">
        <v>0</v>
      </c>
      <c r="C54" s="599">
        <v>43</v>
      </c>
      <c r="D54" s="599">
        <v>107</v>
      </c>
      <c r="E54" s="598">
        <f t="shared" si="10"/>
        <v>0</v>
      </c>
      <c r="F54" s="597">
        <v>1</v>
      </c>
      <c r="G54" s="596">
        <f t="shared" si="7"/>
        <v>0</v>
      </c>
      <c r="H54" s="595">
        <f t="shared" si="8"/>
        <v>0</v>
      </c>
      <c r="I54" s="594">
        <v>110</v>
      </c>
      <c r="J54" s="593">
        <f t="shared" si="9"/>
        <v>0</v>
      </c>
      <c r="K54" s="592">
        <v>4.2500000000000003E-2</v>
      </c>
      <c r="L54" s="591">
        <f t="shared" si="11"/>
        <v>0.17410262809303753</v>
      </c>
      <c r="M54" s="590">
        <f t="shared" si="6"/>
        <v>0</v>
      </c>
      <c r="N54" s="639"/>
      <c r="O54" s="589"/>
    </row>
    <row r="55" spans="2:15">
      <c r="B55" s="600">
        <v>0</v>
      </c>
      <c r="C55" s="599">
        <v>44</v>
      </c>
      <c r="D55" s="599">
        <v>108</v>
      </c>
      <c r="E55" s="598">
        <f t="shared" si="10"/>
        <v>0</v>
      </c>
      <c r="F55" s="597">
        <v>1</v>
      </c>
      <c r="G55" s="596">
        <f t="shared" si="7"/>
        <v>0</v>
      </c>
      <c r="H55" s="595">
        <f t="shared" si="8"/>
        <v>0</v>
      </c>
      <c r="I55" s="594">
        <v>110</v>
      </c>
      <c r="J55" s="593">
        <f t="shared" si="9"/>
        <v>0</v>
      </c>
      <c r="K55" s="592">
        <v>4.2500000000000003E-2</v>
      </c>
      <c r="L55" s="591">
        <f t="shared" si="11"/>
        <v>0.16700491903408876</v>
      </c>
      <c r="M55" s="590">
        <f t="shared" si="6"/>
        <v>0</v>
      </c>
      <c r="N55" s="639"/>
      <c r="O55" s="589"/>
    </row>
    <row r="56" spans="2:15">
      <c r="B56" s="600">
        <v>0</v>
      </c>
      <c r="C56" s="599">
        <v>45</v>
      </c>
      <c r="D56" s="599">
        <v>109</v>
      </c>
      <c r="E56" s="598">
        <f t="shared" si="10"/>
        <v>0</v>
      </c>
      <c r="F56" s="597">
        <v>1</v>
      </c>
      <c r="G56" s="596">
        <f t="shared" si="7"/>
        <v>0</v>
      </c>
      <c r="H56" s="595">
        <f t="shared" si="8"/>
        <v>0</v>
      </c>
      <c r="I56" s="594">
        <v>110</v>
      </c>
      <c r="J56" s="593">
        <f t="shared" si="9"/>
        <v>0</v>
      </c>
      <c r="K56" s="592">
        <v>4.2500000000000003E-2</v>
      </c>
      <c r="L56" s="591">
        <f t="shared" si="11"/>
        <v>0.16019656502070864</v>
      </c>
      <c r="M56" s="590">
        <f t="shared" si="6"/>
        <v>0</v>
      </c>
      <c r="N56" s="639"/>
      <c r="O56" s="589"/>
    </row>
    <row r="57" spans="2:15">
      <c r="B57" s="600">
        <v>0</v>
      </c>
      <c r="C57" s="599">
        <v>46</v>
      </c>
      <c r="D57" s="599">
        <v>110</v>
      </c>
      <c r="E57" s="598">
        <f t="shared" si="10"/>
        <v>0</v>
      </c>
      <c r="F57" s="597">
        <v>1</v>
      </c>
      <c r="G57" s="596">
        <f t="shared" si="7"/>
        <v>0</v>
      </c>
      <c r="H57" s="595">
        <f t="shared" si="8"/>
        <v>0</v>
      </c>
      <c r="I57" s="594">
        <v>110</v>
      </c>
      <c r="J57" s="593">
        <f t="shared" si="9"/>
        <v>0</v>
      </c>
      <c r="K57" s="592">
        <v>4.2500000000000003E-2</v>
      </c>
      <c r="L57" s="591">
        <f t="shared" si="11"/>
        <v>0.15366576980403707</v>
      </c>
      <c r="M57" s="590">
        <f t="shared" si="6"/>
        <v>0</v>
      </c>
      <c r="N57" s="639"/>
      <c r="O57" s="589"/>
    </row>
    <row r="58" spans="2:15">
      <c r="B58" s="600">
        <v>0</v>
      </c>
      <c r="C58" s="599">
        <v>47</v>
      </c>
      <c r="D58" s="599">
        <v>111</v>
      </c>
      <c r="E58" s="598">
        <f t="shared" si="10"/>
        <v>0</v>
      </c>
      <c r="F58" s="597">
        <v>1</v>
      </c>
      <c r="G58" s="596">
        <f t="shared" si="7"/>
        <v>0</v>
      </c>
      <c r="H58" s="595">
        <f t="shared" si="8"/>
        <v>0</v>
      </c>
      <c r="I58" s="594">
        <v>110</v>
      </c>
      <c r="J58" s="593">
        <f t="shared" si="9"/>
        <v>0</v>
      </c>
      <c r="K58" s="592">
        <v>4.2500000000000003E-2</v>
      </c>
      <c r="L58" s="591">
        <f t="shared" si="11"/>
        <v>0.14740121803744563</v>
      </c>
      <c r="M58" s="590">
        <f t="shared" si="6"/>
        <v>0</v>
      </c>
      <c r="N58" s="639"/>
      <c r="O58" s="589"/>
    </row>
    <row r="59" spans="2:15">
      <c r="B59" s="600">
        <v>0</v>
      </c>
      <c r="C59" s="599">
        <v>48</v>
      </c>
      <c r="D59" s="599">
        <v>112</v>
      </c>
      <c r="E59" s="598">
        <f t="shared" si="10"/>
        <v>0</v>
      </c>
      <c r="F59" s="597">
        <v>1</v>
      </c>
      <c r="G59" s="596">
        <f t="shared" si="7"/>
        <v>0</v>
      </c>
      <c r="H59" s="595">
        <f t="shared" si="8"/>
        <v>0</v>
      </c>
      <c r="I59" s="594">
        <v>110</v>
      </c>
      <c r="J59" s="593">
        <f t="shared" si="9"/>
        <v>0</v>
      </c>
      <c r="K59" s="592">
        <v>4.2500000000000003E-2</v>
      </c>
      <c r="L59" s="591">
        <f t="shared" si="11"/>
        <v>0.14139205567141067</v>
      </c>
      <c r="M59" s="590">
        <f t="shared" si="6"/>
        <v>0</v>
      </c>
      <c r="N59" s="639"/>
      <c r="O59" s="589"/>
    </row>
    <row r="60" spans="2:15">
      <c r="B60" s="600">
        <v>0</v>
      </c>
      <c r="C60" s="599">
        <v>49</v>
      </c>
      <c r="D60" s="599">
        <v>113</v>
      </c>
      <c r="E60" s="598">
        <f t="shared" si="10"/>
        <v>0</v>
      </c>
      <c r="F60" s="597">
        <v>1</v>
      </c>
      <c r="G60" s="596">
        <f t="shared" si="7"/>
        <v>0</v>
      </c>
      <c r="H60" s="595">
        <f t="shared" si="8"/>
        <v>0</v>
      </c>
      <c r="I60" s="594">
        <v>110</v>
      </c>
      <c r="J60" s="593">
        <f t="shared" si="9"/>
        <v>0</v>
      </c>
      <c r="K60" s="592">
        <v>4.2500000000000003E-2</v>
      </c>
      <c r="L60" s="591">
        <f t="shared" si="11"/>
        <v>0.13562787114763614</v>
      </c>
      <c r="M60" s="590">
        <f t="shared" si="6"/>
        <v>0</v>
      </c>
      <c r="N60" s="639"/>
      <c r="O60" s="589"/>
    </row>
    <row r="61" spans="2:15">
      <c r="B61" s="600">
        <v>0</v>
      </c>
      <c r="C61" s="599">
        <v>50</v>
      </c>
      <c r="D61" s="599">
        <v>114</v>
      </c>
      <c r="E61" s="598">
        <f t="shared" si="10"/>
        <v>0</v>
      </c>
      <c r="F61" s="597">
        <v>1</v>
      </c>
      <c r="G61" s="596">
        <f t="shared" si="7"/>
        <v>0</v>
      </c>
      <c r="H61" s="595">
        <f t="shared" si="8"/>
        <v>0</v>
      </c>
      <c r="I61" s="594">
        <v>110</v>
      </c>
      <c r="J61" s="593">
        <f t="shared" si="9"/>
        <v>0</v>
      </c>
      <c r="K61" s="592">
        <v>4.2500000000000003E-2</v>
      </c>
      <c r="L61" s="591">
        <f t="shared" si="11"/>
        <v>0.13009867735984282</v>
      </c>
      <c r="M61" s="590">
        <f t="shared" si="6"/>
        <v>0</v>
      </c>
      <c r="N61" s="639"/>
      <c r="O61" s="589"/>
    </row>
    <row r="62" spans="2:15">
      <c r="B62" s="600">
        <v>0</v>
      </c>
      <c r="C62" s="599">
        <v>51</v>
      </c>
      <c r="D62" s="599">
        <v>115</v>
      </c>
      <c r="E62" s="598">
        <f t="shared" si="10"/>
        <v>0</v>
      </c>
      <c r="F62" s="597">
        <v>1</v>
      </c>
      <c r="G62" s="596">
        <f t="shared" si="7"/>
        <v>0</v>
      </c>
      <c r="H62" s="595">
        <f t="shared" si="8"/>
        <v>0</v>
      </c>
      <c r="I62" s="594">
        <v>110</v>
      </c>
      <c r="J62" s="593">
        <f t="shared" si="9"/>
        <v>0</v>
      </c>
      <c r="K62" s="592">
        <v>4.2500000000000003E-2</v>
      </c>
      <c r="L62" s="591">
        <f t="shared" si="11"/>
        <v>0.12479489434996913</v>
      </c>
      <c r="M62" s="590">
        <f t="shared" si="6"/>
        <v>0</v>
      </c>
      <c r="N62" s="639"/>
      <c r="O62" s="589"/>
    </row>
    <row r="63" spans="2:15">
      <c r="B63" s="600">
        <v>0</v>
      </c>
      <c r="C63" s="599">
        <v>52</v>
      </c>
      <c r="D63" s="599">
        <v>116</v>
      </c>
      <c r="E63" s="598">
        <f t="shared" si="10"/>
        <v>0</v>
      </c>
      <c r="F63" s="597">
        <v>1</v>
      </c>
      <c r="G63" s="596">
        <f t="shared" si="7"/>
        <v>0</v>
      </c>
      <c r="H63" s="595">
        <f t="shared" si="8"/>
        <v>0</v>
      </c>
      <c r="I63" s="594">
        <v>110</v>
      </c>
      <c r="J63" s="593">
        <f t="shared" si="9"/>
        <v>0</v>
      </c>
      <c r="K63" s="592">
        <v>4.2500000000000003E-2</v>
      </c>
      <c r="L63" s="591">
        <f t="shared" si="11"/>
        <v>0.11970733270980252</v>
      </c>
      <c r="M63" s="590">
        <f t="shared" si="6"/>
        <v>0</v>
      </c>
      <c r="N63" s="639"/>
      <c r="O63" s="589"/>
    </row>
    <row r="64" spans="2:15">
      <c r="B64" s="600">
        <v>0</v>
      </c>
      <c r="C64" s="599">
        <v>53</v>
      </c>
      <c r="D64" s="599">
        <v>117</v>
      </c>
      <c r="E64" s="598">
        <f t="shared" si="10"/>
        <v>0</v>
      </c>
      <c r="F64" s="597">
        <v>1</v>
      </c>
      <c r="G64" s="596">
        <f t="shared" si="7"/>
        <v>0</v>
      </c>
      <c r="H64" s="595">
        <f t="shared" si="8"/>
        <v>0</v>
      </c>
      <c r="I64" s="594">
        <v>110</v>
      </c>
      <c r="J64" s="593">
        <f t="shared" si="9"/>
        <v>0</v>
      </c>
      <c r="K64" s="592">
        <v>4.2500000000000003E-2</v>
      </c>
      <c r="L64" s="591">
        <f t="shared" si="11"/>
        <v>0.11482717765928299</v>
      </c>
      <c r="M64" s="590">
        <f t="shared" si="6"/>
        <v>0</v>
      </c>
      <c r="N64" s="639"/>
      <c r="O64" s="589"/>
    </row>
    <row r="65" spans="2:15">
      <c r="B65" s="600">
        <v>0</v>
      </c>
      <c r="C65" s="599">
        <v>54</v>
      </c>
      <c r="D65" s="599">
        <v>118</v>
      </c>
      <c r="E65" s="598">
        <f t="shared" si="10"/>
        <v>0</v>
      </c>
      <c r="F65" s="597">
        <v>1</v>
      </c>
      <c r="G65" s="596">
        <f t="shared" si="7"/>
        <v>0</v>
      </c>
      <c r="H65" s="595">
        <f t="shared" si="8"/>
        <v>0</v>
      </c>
      <c r="I65" s="594">
        <v>110</v>
      </c>
      <c r="J65" s="593">
        <f t="shared" si="9"/>
        <v>0</v>
      </c>
      <c r="K65" s="592">
        <v>4.2500000000000003E-2</v>
      </c>
      <c r="L65" s="591">
        <f t="shared" si="11"/>
        <v>0.11014597377389256</v>
      </c>
      <c r="M65" s="590">
        <f t="shared" si="6"/>
        <v>0</v>
      </c>
      <c r="N65" s="639"/>
      <c r="O65" s="589"/>
    </row>
    <row r="66" spans="2:15">
      <c r="B66" s="600">
        <v>0</v>
      </c>
      <c r="C66" s="599">
        <v>55</v>
      </c>
      <c r="D66" s="599">
        <v>119</v>
      </c>
      <c r="E66" s="598">
        <f t="shared" si="10"/>
        <v>0</v>
      </c>
      <c r="F66" s="597">
        <v>1</v>
      </c>
      <c r="G66" s="596">
        <f t="shared" si="7"/>
        <v>0</v>
      </c>
      <c r="H66" s="595">
        <f t="shared" si="8"/>
        <v>0</v>
      </c>
      <c r="I66" s="594">
        <v>110</v>
      </c>
      <c r="J66" s="593">
        <f t="shared" si="9"/>
        <v>0</v>
      </c>
      <c r="K66" s="592">
        <v>4.2500000000000003E-2</v>
      </c>
      <c r="L66" s="591">
        <f t="shared" si="11"/>
        <v>0.10565561033466912</v>
      </c>
      <c r="M66" s="590">
        <f t="shared" si="6"/>
        <v>0</v>
      </c>
      <c r="N66" s="639"/>
      <c r="O66" s="589"/>
    </row>
    <row r="67" spans="2:15">
      <c r="B67" s="600">
        <v>0</v>
      </c>
      <c r="C67" s="599">
        <v>56</v>
      </c>
      <c r="D67" s="599">
        <v>120</v>
      </c>
      <c r="E67" s="598">
        <f t="shared" si="10"/>
        <v>0</v>
      </c>
      <c r="F67" s="597">
        <v>1</v>
      </c>
      <c r="G67" s="596">
        <f t="shared" si="7"/>
        <v>0</v>
      </c>
      <c r="H67" s="595">
        <f t="shared" si="8"/>
        <v>0</v>
      </c>
      <c r="I67" s="594">
        <v>110</v>
      </c>
      <c r="J67" s="593">
        <f t="shared" si="9"/>
        <v>0</v>
      </c>
      <c r="K67" s="592">
        <v>4.2500000000000003E-2</v>
      </c>
      <c r="L67" s="591">
        <f t="shared" si="11"/>
        <v>0.10134830727546199</v>
      </c>
      <c r="M67" s="590">
        <f t="shared" si="6"/>
        <v>0</v>
      </c>
      <c r="N67" s="639"/>
      <c r="O67" s="589"/>
    </row>
    <row r="68" spans="2:15">
      <c r="L68" s="638">
        <f t="shared" si="11"/>
        <v>9.7216601703081038E-2</v>
      </c>
      <c r="M68" s="637"/>
      <c r="N68" s="636"/>
      <c r="O68" s="575"/>
    </row>
  </sheetData>
  <pageMargins left="0.7" right="0.7" top="0.75" bottom="0.75" header="0.3" footer="0.3"/>
  <pageSetup orientation="portrait" horizontalDpi="90" verticalDpi="90" r:id="rId1"/>
  <headerFooter>
    <oddFooter>&amp;C_x000D_&amp;1#&amp;"Calibri"&amp;10&amp;K000000 CONFIDENTIAL</oddFooter>
  </headerFooter>
  <customProperties>
    <customPr name="_pios_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3CB8B-9DD3-4F7F-B479-6C255DC8EBB7}">
  <sheetPr>
    <tabColor rgb="FFFF0000"/>
  </sheetPr>
  <dimension ref="A1:F58"/>
  <sheetViews>
    <sheetView topLeftCell="A14" workbookViewId="0">
      <selection activeCell="A45" sqref="A45"/>
    </sheetView>
  </sheetViews>
  <sheetFormatPr defaultColWidth="9.21875" defaultRowHeight="14.4"/>
  <cols>
    <col min="1" max="1" width="19.21875" style="448" customWidth="1"/>
    <col min="2" max="2" width="18.44140625" style="448" customWidth="1"/>
    <col min="3" max="3" width="19.21875" style="448" customWidth="1"/>
    <col min="4" max="4" width="13.5546875" style="448" customWidth="1"/>
    <col min="5" max="5" width="11.77734375" style="448" customWidth="1"/>
    <col min="6" max="16384" width="9.21875" style="448"/>
  </cols>
  <sheetData>
    <row r="1" spans="1:2" s="493" customFormat="1" ht="17.399999999999999">
      <c r="A1" s="523" t="s">
        <v>1076</v>
      </c>
    </row>
    <row r="2" spans="1:2" s="493" customFormat="1" ht="15.6">
      <c r="A2" s="522" t="s">
        <v>336</v>
      </c>
    </row>
    <row r="3" spans="1:2" s="493" customFormat="1" ht="15.6">
      <c r="A3" s="522" t="s">
        <v>823</v>
      </c>
    </row>
    <row r="4" spans="1:2" s="493" customFormat="1"/>
    <row r="5" spans="1:2" s="493" customFormat="1" ht="15.6">
      <c r="A5" s="494" t="s">
        <v>1075</v>
      </c>
    </row>
    <row r="6" spans="1:2" s="493" customFormat="1" ht="16.2" thickBot="1">
      <c r="A6" s="494"/>
    </row>
    <row r="7" spans="1:2" s="493" customFormat="1" ht="15" customHeight="1" thickBot="1">
      <c r="A7" s="535" t="s">
        <v>884</v>
      </c>
      <c r="B7" s="556">
        <v>55</v>
      </c>
    </row>
    <row r="8" spans="1:2" s="493" customFormat="1" ht="15" customHeight="1" thickBot="1">
      <c r="A8" s="533" t="s">
        <v>1074</v>
      </c>
      <c r="B8" s="555">
        <v>1000000</v>
      </c>
    </row>
    <row r="9" spans="1:2" s="493" customFormat="1" ht="15" customHeight="1" thickBot="1">
      <c r="A9" s="533" t="s">
        <v>1073</v>
      </c>
      <c r="B9" s="554" t="s">
        <v>1072</v>
      </c>
    </row>
    <row r="10" spans="1:2" s="493" customFormat="1" ht="15" customHeight="1" thickBot="1">
      <c r="A10" s="533" t="s">
        <v>1071</v>
      </c>
      <c r="B10" s="532">
        <v>1.7500000000000002E-2</v>
      </c>
    </row>
    <row r="11" spans="1:2" s="493" customFormat="1" ht="15" customHeight="1" thickBot="1">
      <c r="A11" s="533" t="s">
        <v>1070</v>
      </c>
      <c r="B11" s="532">
        <v>3.5000000000000003E-2</v>
      </c>
    </row>
    <row r="12" spans="1:2" s="493" customFormat="1" ht="15" customHeight="1" thickBot="1">
      <c r="A12" s="533" t="s">
        <v>231</v>
      </c>
      <c r="B12" s="532">
        <v>0.03</v>
      </c>
    </row>
    <row r="13" spans="1:2" s="493" customFormat="1" ht="15" customHeight="1" thickBot="1">
      <c r="A13" s="533" t="s">
        <v>1069</v>
      </c>
      <c r="B13" s="532">
        <v>4.4999999999999998E-2</v>
      </c>
    </row>
    <row r="14" spans="1:2" s="493" customFormat="1" ht="15.6">
      <c r="A14" s="494"/>
    </row>
    <row r="15" spans="1:2" s="493" customFormat="1" ht="15.6">
      <c r="A15" s="494" t="s">
        <v>68</v>
      </c>
    </row>
    <row r="16" spans="1:2" s="493" customFormat="1" ht="15.6">
      <c r="A16" s="521" t="s">
        <v>1068</v>
      </c>
    </row>
    <row r="17" spans="1:6" s="493" customFormat="1" ht="15.6">
      <c r="A17" s="521" t="s">
        <v>1067</v>
      </c>
    </row>
    <row r="18" spans="1:6" s="493" customFormat="1" ht="15.6">
      <c r="A18" s="553" t="s">
        <v>1066</v>
      </c>
    </row>
    <row r="19" spans="1:6" s="493" customFormat="1" ht="15.6">
      <c r="A19" s="553" t="s">
        <v>1065</v>
      </c>
    </row>
    <row r="20" spans="1:6" s="493" customFormat="1" ht="15.6">
      <c r="A20" s="553" t="s">
        <v>1064</v>
      </c>
    </row>
    <row r="21" spans="1:6" s="493" customFormat="1" ht="15.6">
      <c r="A21" s="521" t="s">
        <v>1063</v>
      </c>
    </row>
    <row r="22" spans="1:6" s="493" customFormat="1" ht="15" thickBot="1">
      <c r="A22" s="552"/>
    </row>
    <row r="23" spans="1:6" s="493" customFormat="1" ht="16.2" thickBot="1">
      <c r="A23" s="548" t="s">
        <v>1062</v>
      </c>
      <c r="B23" s="1101" t="s">
        <v>1061</v>
      </c>
      <c r="C23" s="1102"/>
      <c r="D23" s="551"/>
      <c r="E23" s="550"/>
      <c r="F23" s="544"/>
    </row>
    <row r="24" spans="1:6" s="493" customFormat="1" ht="15.6">
      <c r="A24" s="549" t="s">
        <v>652</v>
      </c>
      <c r="B24" s="1099" t="s">
        <v>1060</v>
      </c>
      <c r="C24" s="1099" t="s">
        <v>1059</v>
      </c>
      <c r="D24" s="1099" t="s">
        <v>1058</v>
      </c>
      <c r="E24" s="1099" t="s">
        <v>1057</v>
      </c>
      <c r="F24" s="544"/>
    </row>
    <row r="25" spans="1:6" s="493" customFormat="1" ht="15" thickBot="1">
      <c r="A25" s="547"/>
      <c r="B25" s="1100"/>
      <c r="C25" s="1100"/>
      <c r="D25" s="1100"/>
      <c r="E25" s="1100"/>
      <c r="F25" s="544"/>
    </row>
    <row r="26" spans="1:6" s="493" customFormat="1" ht="16.2" thickBot="1">
      <c r="A26" s="546">
        <v>55</v>
      </c>
      <c r="B26" s="545">
        <v>28.545000000000002</v>
      </c>
      <c r="C26" s="545">
        <v>57.09</v>
      </c>
      <c r="D26" s="545">
        <v>42.817999999999998</v>
      </c>
      <c r="E26" s="545">
        <v>45.671999999999997</v>
      </c>
      <c r="F26" s="544"/>
    </row>
    <row r="27" spans="1:6" s="493" customFormat="1" ht="16.2" thickBot="1">
      <c r="A27" s="546">
        <v>56</v>
      </c>
      <c r="B27" s="545">
        <v>33.384999999999998</v>
      </c>
      <c r="C27" s="545">
        <v>63.59</v>
      </c>
      <c r="D27" s="545">
        <v>48.328000000000003</v>
      </c>
      <c r="E27" s="545">
        <v>51.508000000000003</v>
      </c>
      <c r="F27" s="544"/>
    </row>
    <row r="28" spans="1:6" s="493" customFormat="1" ht="16.2" thickBot="1">
      <c r="A28" s="546">
        <v>57</v>
      </c>
      <c r="B28" s="545">
        <v>39.039000000000001</v>
      </c>
      <c r="C28" s="545">
        <v>70.98</v>
      </c>
      <c r="D28" s="545">
        <v>54.655000000000001</v>
      </c>
      <c r="E28" s="545">
        <v>58.204000000000001</v>
      </c>
      <c r="F28" s="544"/>
    </row>
    <row r="29" spans="1:6" s="493" customFormat="1" ht="16.2" thickBot="1">
      <c r="A29" s="546">
        <v>58</v>
      </c>
      <c r="B29" s="545">
        <v>45.207000000000001</v>
      </c>
      <c r="C29" s="545">
        <v>78.62</v>
      </c>
      <c r="D29" s="545">
        <v>61.323999999999998</v>
      </c>
      <c r="E29" s="545">
        <v>65.254999999999995</v>
      </c>
      <c r="F29" s="544"/>
    </row>
    <row r="30" spans="1:6" s="493" customFormat="1" ht="16.2" thickBot="1">
      <c r="A30" s="546">
        <v>59</v>
      </c>
      <c r="B30" s="545">
        <v>52.073999999999998</v>
      </c>
      <c r="C30" s="545">
        <v>86.79</v>
      </c>
      <c r="D30" s="545">
        <v>68.563999999999993</v>
      </c>
      <c r="E30" s="545">
        <v>72.903999999999996</v>
      </c>
      <c r="F30" s="544"/>
    </row>
    <row r="31" spans="1:6" s="493" customFormat="1" ht="16.2" thickBot="1">
      <c r="A31" s="546">
        <v>60</v>
      </c>
      <c r="B31" s="545">
        <v>59.893999999999998</v>
      </c>
      <c r="C31" s="545">
        <v>95.83</v>
      </c>
      <c r="D31" s="545">
        <v>76.664000000000001</v>
      </c>
      <c r="E31" s="545">
        <v>81.456000000000003</v>
      </c>
      <c r="F31" s="544"/>
    </row>
    <row r="32" spans="1:6" s="493" customFormat="1" ht="16.2" thickBot="1">
      <c r="A32" s="546">
        <v>61</v>
      </c>
      <c r="B32" s="545">
        <v>68.894000000000005</v>
      </c>
      <c r="C32" s="545">
        <v>105.99</v>
      </c>
      <c r="D32" s="545">
        <v>85.852000000000004</v>
      </c>
      <c r="E32" s="545">
        <v>91.150999999999996</v>
      </c>
      <c r="F32" s="544"/>
    </row>
    <row r="33" spans="1:6" s="493" customFormat="1" ht="16.2" thickBot="1">
      <c r="A33" s="546">
        <v>62</v>
      </c>
      <c r="B33" s="545">
        <v>79.137</v>
      </c>
      <c r="C33" s="545">
        <v>117.24</v>
      </c>
      <c r="D33" s="545">
        <v>96.137</v>
      </c>
      <c r="E33" s="545">
        <v>101.999</v>
      </c>
      <c r="F33" s="544"/>
    </row>
    <row r="34" spans="1:6" s="493" customFormat="1" ht="16.2" thickBot="1">
      <c r="A34" s="546">
        <v>63</v>
      </c>
      <c r="B34" s="545">
        <v>90.635999999999996</v>
      </c>
      <c r="C34" s="545">
        <v>129.47999999999999</v>
      </c>
      <c r="D34" s="545">
        <v>107.468</v>
      </c>
      <c r="E34" s="545">
        <v>113.94199999999999</v>
      </c>
      <c r="F34" s="544"/>
    </row>
    <row r="35" spans="1:6" s="493" customFormat="1" ht="16.2" thickBot="1">
      <c r="A35" s="546">
        <v>64</v>
      </c>
      <c r="B35" s="545">
        <v>103.349</v>
      </c>
      <c r="C35" s="545">
        <v>142.55000000000001</v>
      </c>
      <c r="D35" s="545">
        <v>119.742</v>
      </c>
      <c r="E35" s="545">
        <v>126.87</v>
      </c>
      <c r="F35" s="544"/>
    </row>
    <row r="36" spans="1:6" s="493" customFormat="1" ht="16.2" thickBot="1">
      <c r="A36" s="546">
        <v>65</v>
      </c>
      <c r="B36" s="545">
        <v>117.21</v>
      </c>
      <c r="C36" s="545">
        <v>156.28</v>
      </c>
      <c r="D36" s="545">
        <v>132.83799999999999</v>
      </c>
      <c r="E36" s="545">
        <v>140.65199999999999</v>
      </c>
      <c r="F36" s="544"/>
    </row>
    <row r="37" spans="1:6" s="493" customFormat="1" ht="15.6">
      <c r="A37" s="494"/>
    </row>
    <row r="38" spans="1:6" s="493" customFormat="1" ht="15.6">
      <c r="A38" s="494" t="s">
        <v>1056</v>
      </c>
    </row>
    <row r="39" spans="1:6" s="493" customFormat="1" ht="15.6">
      <c r="A39" s="543"/>
    </row>
    <row r="40" spans="1:6" s="493" customFormat="1" ht="15.6">
      <c r="A40" s="536" t="s">
        <v>1055</v>
      </c>
    </row>
    <row r="41" spans="1:6" ht="15.6">
      <c r="A41" s="492" t="s">
        <v>24</v>
      </c>
    </row>
    <row r="42" spans="1:6" ht="15.6">
      <c r="A42" s="542"/>
    </row>
    <row r="43" spans="1:6" ht="15.6">
      <c r="A43" s="542"/>
    </row>
    <row r="44" spans="1:6" ht="15.6">
      <c r="A44" s="542"/>
    </row>
    <row r="45" spans="1:6" ht="15.6">
      <c r="A45" s="542"/>
    </row>
    <row r="46" spans="1:6" ht="15.6">
      <c r="A46" s="542"/>
    </row>
    <row r="47" spans="1:6" ht="15.6">
      <c r="A47" s="542"/>
    </row>
    <row r="48" spans="1:6" ht="15.6">
      <c r="A48" s="542"/>
    </row>
    <row r="49" spans="1:1" ht="15.6">
      <c r="A49" s="542"/>
    </row>
    <row r="50" spans="1:1" ht="15.6">
      <c r="A50" s="542"/>
    </row>
    <row r="51" spans="1:1" ht="15.6">
      <c r="A51" s="542"/>
    </row>
    <row r="52" spans="1:1" ht="15.6">
      <c r="A52" s="542"/>
    </row>
    <row r="53" spans="1:1" ht="15.6">
      <c r="A53" s="542"/>
    </row>
    <row r="54" spans="1:1" ht="15.6">
      <c r="A54" s="542"/>
    </row>
    <row r="55" spans="1:1" ht="15.6">
      <c r="A55" s="542"/>
    </row>
    <row r="56" spans="1:1" ht="15.6">
      <c r="A56" s="542"/>
    </row>
    <row r="57" spans="1:1" s="493" customFormat="1" ht="15.6">
      <c r="A57" s="536" t="s">
        <v>1054</v>
      </c>
    </row>
    <row r="58" spans="1:1" ht="15.6">
      <c r="A58" s="492" t="s">
        <v>24</v>
      </c>
    </row>
  </sheetData>
  <mergeCells count="5">
    <mergeCell ref="B24:B25"/>
    <mergeCell ref="C24:C25"/>
    <mergeCell ref="D24:D25"/>
    <mergeCell ref="E24:E25"/>
    <mergeCell ref="B23:C2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E109D-F706-434D-8241-62316D2AF43A}">
  <sheetPr>
    <tabColor rgb="FFFF0000"/>
  </sheetPr>
  <dimension ref="A1:R144"/>
  <sheetViews>
    <sheetView topLeftCell="A39" workbookViewId="0">
      <selection activeCell="J35" sqref="J35"/>
    </sheetView>
  </sheetViews>
  <sheetFormatPr defaultColWidth="8.77734375" defaultRowHeight="14.4"/>
  <cols>
    <col min="1" max="1" width="23.21875" style="67" customWidth="1"/>
    <col min="2" max="2" width="12" style="67" customWidth="1"/>
    <col min="3" max="3" width="10.77734375" style="67" customWidth="1"/>
    <col min="4" max="4" width="10.77734375" style="67" bestFit="1" customWidth="1"/>
    <col min="5" max="5" width="12.44140625" style="67" customWidth="1"/>
    <col min="6" max="6" width="13.21875" style="67" customWidth="1"/>
    <col min="7" max="7" width="12.21875" style="67" customWidth="1"/>
    <col min="8" max="8" width="11" style="67" customWidth="1"/>
    <col min="9" max="9" width="14.21875" style="67" customWidth="1"/>
    <col min="10" max="10" width="12" style="67" customWidth="1"/>
    <col min="11" max="11" width="14.77734375" style="67" customWidth="1"/>
    <col min="12" max="12" width="16.21875" style="67" customWidth="1"/>
    <col min="13" max="13" width="11.77734375" style="67" customWidth="1"/>
    <col min="14" max="14" width="11.44140625" style="67" customWidth="1"/>
    <col min="15" max="16" width="10.77734375" style="67" customWidth="1"/>
    <col min="17" max="17" width="11.44140625" style="67" customWidth="1"/>
    <col min="18" max="18" width="12.44140625" style="67" customWidth="1"/>
    <col min="19" max="16384" width="8.77734375" style="67"/>
  </cols>
  <sheetData>
    <row r="1" spans="1:7" ht="17.399999999999999">
      <c r="A1" s="716" t="s">
        <v>1076</v>
      </c>
      <c r="B1" s="691"/>
      <c r="C1" s="691"/>
      <c r="D1" s="691"/>
      <c r="E1" s="691"/>
      <c r="F1" s="691"/>
      <c r="G1" s="691"/>
    </row>
    <row r="2" spans="1:7" ht="15.6">
      <c r="A2" s="715" t="s">
        <v>336</v>
      </c>
      <c r="B2" s="691"/>
      <c r="C2" s="691"/>
      <c r="D2" s="691"/>
      <c r="E2" s="691"/>
      <c r="F2" s="691"/>
      <c r="G2" s="691"/>
    </row>
    <row r="3" spans="1:7" ht="15.6">
      <c r="A3" s="715" t="s">
        <v>823</v>
      </c>
      <c r="B3" s="691"/>
      <c r="C3" s="691"/>
      <c r="D3" s="691"/>
      <c r="E3" s="691"/>
      <c r="F3" s="691"/>
      <c r="G3" s="691"/>
    </row>
    <row r="4" spans="1:7">
      <c r="A4" s="691"/>
      <c r="B4" s="691"/>
      <c r="C4" s="691"/>
      <c r="D4" s="691"/>
      <c r="E4" s="691"/>
      <c r="F4" s="691"/>
      <c r="G4" s="691"/>
    </row>
    <row r="5" spans="1:7" ht="15.6">
      <c r="A5" s="695" t="s">
        <v>1075</v>
      </c>
      <c r="B5" s="691"/>
      <c r="C5" s="691"/>
      <c r="D5" s="691"/>
      <c r="E5" s="691"/>
      <c r="F5" s="691"/>
      <c r="G5" s="691"/>
    </row>
    <row r="6" spans="1:7" ht="16.2" thickBot="1">
      <c r="A6" s="695"/>
      <c r="B6" s="691"/>
      <c r="C6" s="691"/>
      <c r="D6" s="691"/>
      <c r="E6" s="691"/>
      <c r="F6" s="691"/>
      <c r="G6" s="691"/>
    </row>
    <row r="7" spans="1:7" ht="16.2" thickBot="1">
      <c r="A7" s="714" t="s">
        <v>884</v>
      </c>
      <c r="B7" s="713">
        <v>55</v>
      </c>
      <c r="C7" s="691"/>
      <c r="D7" s="691"/>
      <c r="E7" s="691"/>
      <c r="F7" s="691"/>
      <c r="G7" s="691"/>
    </row>
    <row r="8" spans="1:7" ht="24.6" customHeight="1" thickBot="1">
      <c r="A8" s="710" t="s">
        <v>1074</v>
      </c>
      <c r="B8" s="712">
        <v>1000000</v>
      </c>
      <c r="C8" s="691"/>
      <c r="D8" s="691"/>
      <c r="E8" s="691"/>
      <c r="F8" s="691"/>
      <c r="G8" s="691"/>
    </row>
    <row r="9" spans="1:7" ht="30" customHeight="1" thickBot="1">
      <c r="A9" s="710" t="s">
        <v>1073</v>
      </c>
      <c r="B9" s="711" t="s">
        <v>1072</v>
      </c>
      <c r="C9" s="691"/>
      <c r="D9" s="691"/>
      <c r="E9" s="691"/>
      <c r="F9" s="691"/>
      <c r="G9" s="691"/>
    </row>
    <row r="10" spans="1:7" ht="34.049999999999997" customHeight="1" thickBot="1">
      <c r="A10" s="710" t="s">
        <v>1071</v>
      </c>
      <c r="B10" s="709">
        <v>1.7500000000000002E-2</v>
      </c>
      <c r="C10" s="691"/>
      <c r="D10" s="691"/>
      <c r="E10" s="691"/>
      <c r="F10" s="691"/>
      <c r="G10" s="691"/>
    </row>
    <row r="11" spans="1:7" ht="25.05" customHeight="1" thickBot="1">
      <c r="A11" s="710" t="s">
        <v>1070</v>
      </c>
      <c r="B11" s="709">
        <v>3.5000000000000003E-2</v>
      </c>
      <c r="C11" s="691"/>
      <c r="D11" s="691"/>
      <c r="E11" s="691"/>
      <c r="F11" s="691"/>
      <c r="G11" s="691"/>
    </row>
    <row r="12" spans="1:7" ht="23.55" customHeight="1" thickBot="1">
      <c r="A12" s="710" t="s">
        <v>231</v>
      </c>
      <c r="B12" s="709">
        <v>0.03</v>
      </c>
      <c r="C12" s="691"/>
      <c r="D12" s="691"/>
      <c r="E12" s="691"/>
      <c r="F12" s="691"/>
      <c r="G12" s="691"/>
    </row>
    <row r="13" spans="1:7" ht="36.6" customHeight="1" thickBot="1">
      <c r="A13" s="710" t="s">
        <v>1069</v>
      </c>
      <c r="B13" s="709">
        <v>4.4999999999999998E-2</v>
      </c>
      <c r="C13" s="691"/>
      <c r="D13" s="691"/>
      <c r="E13" s="691"/>
      <c r="F13" s="691"/>
      <c r="G13" s="691"/>
    </row>
    <row r="14" spans="1:7" ht="15.6">
      <c r="A14" s="695"/>
      <c r="B14" s="691"/>
      <c r="C14" s="691"/>
      <c r="D14" s="691"/>
      <c r="E14" s="691"/>
      <c r="F14" s="691"/>
      <c r="G14" s="691"/>
    </row>
    <row r="15" spans="1:7" ht="15.6">
      <c r="A15" s="695" t="s">
        <v>68</v>
      </c>
      <c r="B15" s="691"/>
      <c r="C15" s="691"/>
      <c r="D15" s="691"/>
      <c r="E15" s="691"/>
      <c r="F15" s="691"/>
      <c r="G15" s="691"/>
    </row>
    <row r="16" spans="1:7" ht="15.6">
      <c r="A16" s="706" t="s">
        <v>1283</v>
      </c>
      <c r="B16" s="691"/>
      <c r="C16" s="691"/>
      <c r="D16" s="691"/>
      <c r="E16" s="691"/>
      <c r="F16" s="691"/>
      <c r="G16" s="691"/>
    </row>
    <row r="17" spans="1:7" ht="15.6">
      <c r="A17" s="706" t="s">
        <v>1282</v>
      </c>
      <c r="B17" s="691"/>
      <c r="C17" s="691"/>
      <c r="D17" s="691"/>
      <c r="E17" s="691"/>
      <c r="F17" s="691"/>
      <c r="G17" s="691"/>
    </row>
    <row r="18" spans="1:7" ht="15.6">
      <c r="A18" s="707" t="s">
        <v>1281</v>
      </c>
      <c r="B18" s="691"/>
      <c r="C18" s="691"/>
      <c r="D18" s="691"/>
      <c r="E18" s="691"/>
      <c r="F18" s="691"/>
      <c r="G18" s="691"/>
    </row>
    <row r="19" spans="1:7" ht="15.6">
      <c r="A19" s="708" t="s">
        <v>1280</v>
      </c>
      <c r="B19" s="691"/>
      <c r="C19" s="691"/>
      <c r="D19" s="691"/>
      <c r="E19" s="691"/>
      <c r="F19" s="691"/>
      <c r="G19" s="691"/>
    </row>
    <row r="20" spans="1:7" ht="15.6">
      <c r="A20" s="707" t="s">
        <v>1279</v>
      </c>
      <c r="B20" s="691"/>
      <c r="C20" s="691"/>
      <c r="D20" s="691"/>
      <c r="E20" s="691"/>
      <c r="F20" s="691"/>
      <c r="G20" s="691"/>
    </row>
    <row r="21" spans="1:7" ht="15.6">
      <c r="A21" s="706" t="s">
        <v>1278</v>
      </c>
      <c r="B21" s="691"/>
      <c r="C21" s="691"/>
      <c r="D21" s="691"/>
      <c r="E21" s="691"/>
      <c r="F21" s="691"/>
      <c r="G21" s="691"/>
    </row>
    <row r="22" spans="1:7" ht="15" thickBot="1">
      <c r="A22" s="705"/>
      <c r="B22" s="691"/>
      <c r="C22" s="691"/>
      <c r="D22" s="691"/>
      <c r="E22" s="691"/>
      <c r="F22" s="691"/>
      <c r="G22" s="691"/>
    </row>
    <row r="23" spans="1:7" ht="16.2" thickBot="1">
      <c r="A23" s="701" t="s">
        <v>1062</v>
      </c>
      <c r="B23" s="704" t="s">
        <v>1061</v>
      </c>
      <c r="C23" s="703"/>
      <c r="D23" s="703"/>
      <c r="E23" s="702"/>
      <c r="F23" s="696"/>
      <c r="G23" s="691"/>
    </row>
    <row r="24" spans="1:7" ht="15.6">
      <c r="A24" s="699" t="s">
        <v>652</v>
      </c>
      <c r="B24" s="1103" t="s">
        <v>1060</v>
      </c>
      <c r="C24" s="1103" t="s">
        <v>1059</v>
      </c>
      <c r="D24" s="1103" t="s">
        <v>1058</v>
      </c>
      <c r="E24" s="1103" t="s">
        <v>1057</v>
      </c>
      <c r="F24" s="696"/>
      <c r="G24" s="691"/>
    </row>
    <row r="25" spans="1:7" ht="15" thickBot="1">
      <c r="A25" s="700"/>
      <c r="B25" s="1104"/>
      <c r="C25" s="1104"/>
      <c r="D25" s="1104"/>
      <c r="E25" s="1104"/>
      <c r="F25" s="696"/>
      <c r="G25" s="691"/>
    </row>
    <row r="26" spans="1:7" ht="16.2" thickBot="1">
      <c r="A26" s="698">
        <v>55</v>
      </c>
      <c r="B26" s="697">
        <v>28.545000000000002</v>
      </c>
      <c r="C26" s="697">
        <v>57.09</v>
      </c>
      <c r="D26" s="697">
        <v>42.817999999999998</v>
      </c>
      <c r="E26" s="697">
        <v>45.671999999999997</v>
      </c>
      <c r="F26" s="696"/>
      <c r="G26" s="691"/>
    </row>
    <row r="27" spans="1:7" ht="16.2" thickBot="1">
      <c r="A27" s="698">
        <v>56</v>
      </c>
      <c r="B27" s="697">
        <v>33.384999999999998</v>
      </c>
      <c r="C27" s="697">
        <v>63.59</v>
      </c>
      <c r="D27" s="697">
        <v>48.328000000000003</v>
      </c>
      <c r="E27" s="697">
        <v>51.508000000000003</v>
      </c>
      <c r="F27" s="696"/>
      <c r="G27" s="691"/>
    </row>
    <row r="28" spans="1:7" ht="16.2" thickBot="1">
      <c r="A28" s="698">
        <v>57</v>
      </c>
      <c r="B28" s="697">
        <v>39.039000000000001</v>
      </c>
      <c r="C28" s="697">
        <v>70.98</v>
      </c>
      <c r="D28" s="697">
        <v>54.655000000000001</v>
      </c>
      <c r="E28" s="697">
        <v>58.204000000000001</v>
      </c>
      <c r="F28" s="696"/>
      <c r="G28" s="691"/>
    </row>
    <row r="29" spans="1:7" ht="16.2" thickBot="1">
      <c r="A29" s="698">
        <v>58</v>
      </c>
      <c r="B29" s="697">
        <v>45.207000000000001</v>
      </c>
      <c r="C29" s="697">
        <v>78.62</v>
      </c>
      <c r="D29" s="697">
        <v>61.323999999999998</v>
      </c>
      <c r="E29" s="697">
        <v>65.254999999999995</v>
      </c>
      <c r="F29" s="696"/>
      <c r="G29" s="691"/>
    </row>
    <row r="30" spans="1:7" ht="16.2" thickBot="1">
      <c r="A30" s="698">
        <v>59</v>
      </c>
      <c r="B30" s="697">
        <v>52.073999999999998</v>
      </c>
      <c r="C30" s="697">
        <v>86.79</v>
      </c>
      <c r="D30" s="697">
        <v>68.563999999999993</v>
      </c>
      <c r="E30" s="697">
        <v>72.903999999999996</v>
      </c>
      <c r="F30" s="696"/>
      <c r="G30" s="691"/>
    </row>
    <row r="31" spans="1:7" ht="16.2" thickBot="1">
      <c r="A31" s="698">
        <v>60</v>
      </c>
      <c r="B31" s="697">
        <v>59.893999999999998</v>
      </c>
      <c r="C31" s="697">
        <v>95.83</v>
      </c>
      <c r="D31" s="697">
        <v>76.664000000000001</v>
      </c>
      <c r="E31" s="697">
        <v>81.456000000000003</v>
      </c>
      <c r="F31" s="696"/>
      <c r="G31" s="691"/>
    </row>
    <row r="32" spans="1:7" ht="16.2" thickBot="1">
      <c r="A32" s="698">
        <v>61</v>
      </c>
      <c r="B32" s="697">
        <v>68.894000000000005</v>
      </c>
      <c r="C32" s="697">
        <v>105.99</v>
      </c>
      <c r="D32" s="697">
        <v>85.852000000000004</v>
      </c>
      <c r="E32" s="697">
        <v>91.150999999999996</v>
      </c>
      <c r="F32" s="696"/>
      <c r="G32" s="691"/>
    </row>
    <row r="33" spans="1:7" ht="16.2" thickBot="1">
      <c r="A33" s="698">
        <v>62</v>
      </c>
      <c r="B33" s="697">
        <v>79.137</v>
      </c>
      <c r="C33" s="697">
        <v>117.24</v>
      </c>
      <c r="D33" s="697">
        <v>96.137</v>
      </c>
      <c r="E33" s="697">
        <v>101.999</v>
      </c>
      <c r="F33" s="696"/>
      <c r="G33" s="691"/>
    </row>
    <row r="34" spans="1:7" ht="16.2" thickBot="1">
      <c r="A34" s="698">
        <v>63</v>
      </c>
      <c r="B34" s="697">
        <v>90.635999999999996</v>
      </c>
      <c r="C34" s="697">
        <v>129.47999999999999</v>
      </c>
      <c r="D34" s="697">
        <v>107.468</v>
      </c>
      <c r="E34" s="697">
        <v>113.94199999999999</v>
      </c>
      <c r="F34" s="696"/>
      <c r="G34" s="691"/>
    </row>
    <row r="35" spans="1:7" ht="16.2" thickBot="1">
      <c r="A35" s="698">
        <v>64</v>
      </c>
      <c r="B35" s="697">
        <v>103.349</v>
      </c>
      <c r="C35" s="697">
        <v>142.55000000000001</v>
      </c>
      <c r="D35" s="697">
        <v>119.742</v>
      </c>
      <c r="E35" s="697">
        <v>126.87</v>
      </c>
      <c r="F35" s="696"/>
      <c r="G35" s="691"/>
    </row>
    <row r="36" spans="1:7" ht="16.2" thickBot="1">
      <c r="A36" s="698">
        <v>65</v>
      </c>
      <c r="B36" s="697">
        <v>117.21</v>
      </c>
      <c r="C36" s="697">
        <v>156.28</v>
      </c>
      <c r="D36" s="697">
        <v>132.83799999999999</v>
      </c>
      <c r="E36" s="697">
        <v>140.65199999999999</v>
      </c>
      <c r="F36" s="696"/>
      <c r="G36" s="691"/>
    </row>
    <row r="37" spans="1:7" ht="15.6">
      <c r="A37" s="695"/>
      <c r="B37" s="691"/>
      <c r="C37" s="691"/>
      <c r="D37" s="691"/>
      <c r="E37" s="691"/>
      <c r="F37" s="691"/>
      <c r="G37" s="691"/>
    </row>
    <row r="38" spans="1:7" ht="15.6">
      <c r="A38" s="695" t="s">
        <v>1277</v>
      </c>
      <c r="B38" s="691"/>
      <c r="C38" s="691"/>
      <c r="D38" s="691"/>
      <c r="E38" s="691"/>
      <c r="F38" s="691"/>
      <c r="G38" s="691"/>
    </row>
    <row r="39" spans="1:7" ht="15.6">
      <c r="A39" s="694"/>
      <c r="B39" s="691"/>
      <c r="C39" s="691"/>
      <c r="D39" s="691"/>
      <c r="E39" s="691"/>
      <c r="F39" s="691"/>
      <c r="G39" s="691"/>
    </row>
    <row r="40" spans="1:7" ht="15.6">
      <c r="A40" s="692" t="s">
        <v>1276</v>
      </c>
      <c r="B40" s="691"/>
      <c r="C40" s="691"/>
      <c r="D40" s="691"/>
      <c r="E40" s="691"/>
      <c r="F40" s="691"/>
      <c r="G40" s="691"/>
    </row>
    <row r="41" spans="1:7" ht="15.6">
      <c r="A41" s="407" t="s">
        <v>24</v>
      </c>
      <c r="B41" s="662"/>
      <c r="C41" s="662"/>
      <c r="D41" s="662"/>
      <c r="E41" s="662"/>
      <c r="F41" s="662"/>
      <c r="G41" s="662"/>
    </row>
    <row r="42" spans="1:7" ht="15.6">
      <c r="A42" s="693"/>
      <c r="B42" s="662" t="s">
        <v>1275</v>
      </c>
      <c r="C42" s="662"/>
      <c r="D42" s="662"/>
      <c r="E42" s="662"/>
      <c r="F42" s="662"/>
      <c r="G42" s="662"/>
    </row>
    <row r="43" spans="1:7" ht="15.6">
      <c r="A43" s="693"/>
      <c r="B43" s="662" t="s">
        <v>1274</v>
      </c>
      <c r="C43" s="662"/>
      <c r="D43" s="662"/>
      <c r="E43" s="662"/>
      <c r="F43" s="662"/>
      <c r="G43" s="662"/>
    </row>
    <row r="44" spans="1:7" ht="15.6">
      <c r="A44" s="693"/>
      <c r="B44" s="662" t="s">
        <v>1273</v>
      </c>
      <c r="C44" s="662"/>
      <c r="D44" s="662"/>
      <c r="E44" s="662"/>
      <c r="F44" s="662"/>
      <c r="G44" s="662"/>
    </row>
    <row r="45" spans="1:7" ht="15.6">
      <c r="A45" s="693"/>
      <c r="B45" s="662"/>
      <c r="C45" s="662"/>
      <c r="D45" s="662"/>
      <c r="E45" s="662"/>
      <c r="F45" s="662"/>
      <c r="G45" s="662"/>
    </row>
    <row r="46" spans="1:7" ht="15.6">
      <c r="A46" s="693"/>
      <c r="B46" s="662" t="s">
        <v>1272</v>
      </c>
      <c r="C46" s="662"/>
      <c r="D46" s="662"/>
      <c r="E46" s="662"/>
      <c r="F46" s="662"/>
      <c r="G46" s="662"/>
    </row>
    <row r="47" spans="1:7" ht="15.6">
      <c r="A47" s="693"/>
      <c r="B47" s="662"/>
      <c r="C47" s="662"/>
      <c r="D47" s="662"/>
      <c r="E47" s="662"/>
      <c r="F47" s="662"/>
      <c r="G47" s="662"/>
    </row>
    <row r="48" spans="1:7" ht="15.6">
      <c r="A48" s="693"/>
      <c r="B48" s="662" t="s">
        <v>1271</v>
      </c>
      <c r="C48" s="662"/>
      <c r="D48" s="662"/>
      <c r="E48" s="662"/>
      <c r="F48" s="662"/>
      <c r="G48" s="662"/>
    </row>
    <row r="49" spans="1:18" ht="15.6">
      <c r="A49" s="693"/>
      <c r="B49" s="662" t="s">
        <v>1270</v>
      </c>
      <c r="C49" s="662"/>
      <c r="D49" s="662"/>
      <c r="E49" s="662"/>
      <c r="F49" s="662"/>
      <c r="G49" s="662"/>
    </row>
    <row r="50" spans="1:18" ht="15.6">
      <c r="A50" s="693"/>
      <c r="B50" s="662" t="s">
        <v>1269</v>
      </c>
      <c r="C50" s="662"/>
      <c r="D50" s="662"/>
      <c r="E50" s="662"/>
      <c r="F50" s="662"/>
      <c r="G50" s="662"/>
    </row>
    <row r="51" spans="1:18" ht="15.6">
      <c r="A51" s="693"/>
      <c r="B51" s="662" t="s">
        <v>1268</v>
      </c>
      <c r="C51" s="662"/>
      <c r="D51" s="662"/>
      <c r="E51" s="662"/>
      <c r="F51" s="662"/>
      <c r="G51" s="662"/>
    </row>
    <row r="52" spans="1:18" ht="15.6">
      <c r="A52" s="693"/>
      <c r="B52" s="662"/>
      <c r="C52" s="662"/>
      <c r="D52" s="662"/>
      <c r="E52" s="662"/>
      <c r="F52" s="662"/>
      <c r="G52" s="662"/>
    </row>
    <row r="53" spans="1:18" ht="15.6">
      <c r="A53" s="693"/>
      <c r="B53" s="662" t="s">
        <v>1267</v>
      </c>
      <c r="C53" s="662"/>
      <c r="D53" s="662"/>
      <c r="E53" s="662"/>
      <c r="F53" s="662"/>
      <c r="G53" s="662"/>
    </row>
    <row r="54" spans="1:18" ht="15.6">
      <c r="A54" s="693"/>
      <c r="B54" s="662" t="s">
        <v>1266</v>
      </c>
      <c r="C54" s="662"/>
      <c r="D54" s="662"/>
      <c r="E54" s="662"/>
      <c r="F54" s="662"/>
      <c r="G54" s="662"/>
    </row>
    <row r="55" spans="1:18" ht="15.6">
      <c r="A55" s="693"/>
      <c r="B55" s="662"/>
      <c r="C55" s="662"/>
      <c r="D55" s="662"/>
      <c r="E55" s="662"/>
      <c r="F55" s="662"/>
      <c r="G55" s="662"/>
    </row>
    <row r="56" spans="1:18" ht="15.6">
      <c r="A56" s="693"/>
      <c r="B56" s="662" t="s">
        <v>1265</v>
      </c>
      <c r="C56" s="662"/>
      <c r="D56" s="662"/>
      <c r="E56" s="662"/>
      <c r="F56" s="662"/>
      <c r="G56" s="662"/>
    </row>
    <row r="57" spans="1:18" ht="15.6">
      <c r="A57" s="693"/>
      <c r="B57" s="662" t="s">
        <v>1264</v>
      </c>
      <c r="C57" s="662"/>
      <c r="D57" s="662"/>
      <c r="E57" s="662"/>
      <c r="F57" s="662"/>
      <c r="G57" s="662"/>
    </row>
    <row r="58" spans="1:18" ht="15.6">
      <c r="A58" s="693"/>
      <c r="B58" s="662" t="s">
        <v>1263</v>
      </c>
      <c r="C58" s="662"/>
      <c r="D58" s="662"/>
      <c r="E58" s="662"/>
      <c r="F58" s="662"/>
      <c r="G58" s="662"/>
    </row>
    <row r="59" spans="1:18" ht="15.6">
      <c r="A59" s="693"/>
      <c r="B59" s="662"/>
      <c r="C59" s="662"/>
      <c r="D59" s="662"/>
      <c r="E59" s="662"/>
      <c r="F59" s="662"/>
      <c r="G59" s="662"/>
    </row>
    <row r="60" spans="1:18" ht="15.6">
      <c r="A60" s="693"/>
      <c r="B60" s="662" t="s">
        <v>1262</v>
      </c>
      <c r="C60" s="662"/>
      <c r="D60" s="662"/>
      <c r="E60" s="662"/>
      <c r="F60" s="662"/>
      <c r="G60" s="662"/>
    </row>
    <row r="61" spans="1:18" ht="15.6">
      <c r="A61" s="693"/>
      <c r="B61" s="662"/>
      <c r="C61" s="662"/>
      <c r="D61" s="662"/>
      <c r="E61" s="662"/>
      <c r="F61" s="662"/>
      <c r="G61" s="662"/>
      <c r="Q61" s="671" t="s">
        <v>1261</v>
      </c>
      <c r="R61" s="671" t="s">
        <v>1261</v>
      </c>
    </row>
    <row r="62" spans="1:18" ht="15.6">
      <c r="A62" s="693"/>
      <c r="B62" s="67" t="s">
        <v>1260</v>
      </c>
      <c r="G62" s="671" t="s">
        <v>1057</v>
      </c>
      <c r="H62" s="671" t="s">
        <v>1059</v>
      </c>
      <c r="O62" s="671" t="s">
        <v>1225</v>
      </c>
      <c r="P62" s="671" t="s">
        <v>1225</v>
      </c>
      <c r="Q62" s="671" t="s">
        <v>1259</v>
      </c>
      <c r="R62" s="671" t="s">
        <v>1259</v>
      </c>
    </row>
    <row r="63" spans="1:18" ht="15.6">
      <c r="A63" s="693"/>
      <c r="F63" s="671" t="s">
        <v>1058</v>
      </c>
      <c r="G63" s="671" t="s">
        <v>1258</v>
      </c>
      <c r="H63" s="671" t="s">
        <v>1191</v>
      </c>
      <c r="J63" s="671" t="s">
        <v>1253</v>
      </c>
      <c r="K63" s="671" t="s">
        <v>1253</v>
      </c>
      <c r="M63" s="671" t="s">
        <v>1225</v>
      </c>
      <c r="N63" s="671" t="s">
        <v>1225</v>
      </c>
      <c r="O63" s="671" t="s">
        <v>1221</v>
      </c>
      <c r="P63" s="671" t="s">
        <v>1221</v>
      </c>
      <c r="Q63" s="671" t="s">
        <v>1257</v>
      </c>
      <c r="R63" s="671" t="s">
        <v>1256</v>
      </c>
    </row>
    <row r="64" spans="1:18" ht="15.6">
      <c r="A64" s="693"/>
      <c r="B64" s="671"/>
      <c r="C64" s="671" t="s">
        <v>1255</v>
      </c>
      <c r="D64" s="671" t="s">
        <v>1254</v>
      </c>
      <c r="F64" s="671" t="s">
        <v>1012</v>
      </c>
      <c r="G64" s="671" t="s">
        <v>1193</v>
      </c>
      <c r="H64" s="671" t="s">
        <v>1201</v>
      </c>
      <c r="I64" s="671" t="s">
        <v>1200</v>
      </c>
      <c r="J64" s="671" t="s">
        <v>1255</v>
      </c>
      <c r="K64" s="671" t="s">
        <v>1254</v>
      </c>
      <c r="L64" s="671" t="s">
        <v>1253</v>
      </c>
      <c r="M64" s="671" t="s">
        <v>1221</v>
      </c>
      <c r="N64" s="671" t="s">
        <v>1221</v>
      </c>
      <c r="O64" s="671" t="s">
        <v>1252</v>
      </c>
      <c r="P64" s="671" t="s">
        <v>1252</v>
      </c>
      <c r="Q64" s="671" t="s">
        <v>1251</v>
      </c>
      <c r="R64" s="671" t="s">
        <v>1251</v>
      </c>
    </row>
    <row r="65" spans="1:18" ht="15.6">
      <c r="A65" s="693"/>
      <c r="B65" s="671" t="s">
        <v>374</v>
      </c>
      <c r="C65" s="671" t="s">
        <v>1250</v>
      </c>
      <c r="D65" s="671" t="s">
        <v>1250</v>
      </c>
      <c r="E65" s="671" t="s">
        <v>199</v>
      </c>
      <c r="F65" s="671" t="s">
        <v>1196</v>
      </c>
      <c r="G65" s="671" t="s">
        <v>1195</v>
      </c>
      <c r="H65" s="671" t="s">
        <v>1194</v>
      </c>
      <c r="I65" s="671" t="s">
        <v>1193</v>
      </c>
      <c r="J65" s="671" t="s">
        <v>165</v>
      </c>
      <c r="K65" s="671" t="s">
        <v>165</v>
      </c>
      <c r="L65" s="671" t="s">
        <v>166</v>
      </c>
      <c r="M65" s="671" t="s">
        <v>165</v>
      </c>
      <c r="N65" s="671" t="s">
        <v>166</v>
      </c>
      <c r="O65" s="671" t="s">
        <v>165</v>
      </c>
      <c r="P65" s="67" t="s">
        <v>166</v>
      </c>
      <c r="Q65" s="671" t="s">
        <v>1249</v>
      </c>
      <c r="R65" s="671" t="s">
        <v>1249</v>
      </c>
    </row>
    <row r="66" spans="1:18" ht="15.6">
      <c r="A66" s="693"/>
      <c r="B66" s="662">
        <f>1</f>
        <v>1</v>
      </c>
      <c r="C66" s="669">
        <f>B8</f>
        <v>1000000</v>
      </c>
      <c r="D66" s="662">
        <f>0</f>
        <v>0</v>
      </c>
      <c r="E66" s="669">
        <f>20000</f>
        <v>20000</v>
      </c>
      <c r="F66" s="662">
        <f t="shared" ref="F66:F75" si="0">D26</f>
        <v>42.817999999999998</v>
      </c>
      <c r="G66" s="667">
        <f>B10</f>
        <v>1.7500000000000002E-2</v>
      </c>
      <c r="H66" s="67">
        <f>1</f>
        <v>1</v>
      </c>
      <c r="I66" s="67">
        <f>1</f>
        <v>1</v>
      </c>
      <c r="J66" s="661">
        <f t="shared" ref="J66:J75" si="1">C66*H66*F66/1000</f>
        <v>42818</v>
      </c>
      <c r="K66" s="661">
        <f t="shared" ref="K66:K75" si="2">D66*H66*(1-F66/1000)</f>
        <v>0</v>
      </c>
      <c r="L66" s="661">
        <f t="shared" ref="L66:L75" si="3">E66*H66</f>
        <v>20000</v>
      </c>
      <c r="M66" s="661">
        <f t="shared" ref="M66:M75" si="4">(J66+K66)*I66/(1+G66)</f>
        <v>42081.572481572475</v>
      </c>
      <c r="N66" s="661">
        <f t="shared" ref="N66:N75" si="5">L66*I66</f>
        <v>20000</v>
      </c>
      <c r="O66" s="661">
        <f>SUM(M66:M$75)</f>
        <v>875988.99819400324</v>
      </c>
      <c r="P66" s="661">
        <f>SUM(N66:N$75)</f>
        <v>144207.07924297301</v>
      </c>
      <c r="Q66" s="661">
        <f t="shared" ref="Q66:Q75" si="6">O66-N$77*P66</f>
        <v>0</v>
      </c>
      <c r="R66" s="661">
        <f t="shared" ref="R66:R75" si="7">O66-N$78*P66</f>
        <v>731781.91895103024</v>
      </c>
    </row>
    <row r="67" spans="1:18" ht="15.6">
      <c r="A67" s="693"/>
      <c r="B67" s="662">
        <f t="shared" ref="B67:B75" si="8">B66+1</f>
        <v>2</v>
      </c>
      <c r="C67" s="669">
        <f t="shared" ref="C67:C75" si="9">C66</f>
        <v>1000000</v>
      </c>
      <c r="D67" s="662">
        <f>0</f>
        <v>0</v>
      </c>
      <c r="E67" s="669">
        <f>20000</f>
        <v>20000</v>
      </c>
      <c r="F67" s="662">
        <f t="shared" si="0"/>
        <v>48.328000000000003</v>
      </c>
      <c r="G67" s="667">
        <f t="shared" ref="G67:G75" si="10">G66</f>
        <v>1.7500000000000002E-2</v>
      </c>
      <c r="H67" s="67">
        <f t="shared" ref="H67:H75" si="11">H66*(1-F66/1000)</f>
        <v>0.95718199999999998</v>
      </c>
      <c r="I67" s="67">
        <f t="shared" ref="I67:I75" si="12">I66/(1+G66)</f>
        <v>0.98280098280098271</v>
      </c>
      <c r="J67" s="661">
        <f t="shared" si="1"/>
        <v>46258.691696000002</v>
      </c>
      <c r="K67" s="661">
        <f t="shared" si="2"/>
        <v>0</v>
      </c>
      <c r="L67" s="661">
        <f t="shared" si="3"/>
        <v>19143.64</v>
      </c>
      <c r="M67" s="661">
        <f t="shared" si="4"/>
        <v>44681.16723529873</v>
      </c>
      <c r="N67" s="661">
        <f t="shared" si="5"/>
        <v>18814.388206388205</v>
      </c>
      <c r="O67" s="661">
        <f>SUM(M67:M$75)</f>
        <v>833907.42571243073</v>
      </c>
      <c r="P67" s="661">
        <f>SUM(N67:N$75)</f>
        <v>124207.07924297298</v>
      </c>
      <c r="Q67" s="661">
        <f t="shared" si="6"/>
        <v>79408.856808387674</v>
      </c>
      <c r="R67" s="661">
        <f t="shared" si="7"/>
        <v>709700.34646945773</v>
      </c>
    </row>
    <row r="68" spans="1:18" ht="15.6">
      <c r="A68" s="693"/>
      <c r="B68" s="662">
        <f t="shared" si="8"/>
        <v>3</v>
      </c>
      <c r="C68" s="669">
        <f t="shared" si="9"/>
        <v>1000000</v>
      </c>
      <c r="D68" s="662">
        <f>0</f>
        <v>0</v>
      </c>
      <c r="E68" s="669">
        <f>20000</f>
        <v>20000</v>
      </c>
      <c r="F68" s="662">
        <f t="shared" si="0"/>
        <v>54.655000000000001</v>
      </c>
      <c r="G68" s="667">
        <f t="shared" si="10"/>
        <v>1.7500000000000002E-2</v>
      </c>
      <c r="H68" s="67">
        <f t="shared" si="11"/>
        <v>0.91092330830399992</v>
      </c>
      <c r="I68" s="67">
        <f t="shared" si="12"/>
        <v>0.96589777179457759</v>
      </c>
      <c r="J68" s="661">
        <f t="shared" si="1"/>
        <v>49786.513415355119</v>
      </c>
      <c r="K68" s="661">
        <f t="shared" si="2"/>
        <v>0</v>
      </c>
      <c r="L68" s="661">
        <f t="shared" si="3"/>
        <v>18218.466166079997</v>
      </c>
      <c r="M68" s="661">
        <f t="shared" si="4"/>
        <v>47261.604298095677</v>
      </c>
      <c r="N68" s="661">
        <f t="shared" si="5"/>
        <v>17597.17587533157</v>
      </c>
      <c r="O68" s="661">
        <f>SUM(M68:M$75)</f>
        <v>789226.25847713195</v>
      </c>
      <c r="P68" s="661">
        <f>SUM(N68:N$75)</f>
        <v>105392.69103658479</v>
      </c>
      <c r="Q68" s="661">
        <f t="shared" si="6"/>
        <v>149016.09457419184</v>
      </c>
      <c r="R68" s="661">
        <f t="shared" si="7"/>
        <v>683833.56744054717</v>
      </c>
    </row>
    <row r="69" spans="1:18" ht="15.6">
      <c r="A69" s="693"/>
      <c r="B69" s="662">
        <f t="shared" si="8"/>
        <v>4</v>
      </c>
      <c r="C69" s="669">
        <f t="shared" si="9"/>
        <v>1000000</v>
      </c>
      <c r="D69" s="662">
        <f>0</f>
        <v>0</v>
      </c>
      <c r="E69" s="669">
        <f>20000</f>
        <v>20000</v>
      </c>
      <c r="F69" s="662">
        <f t="shared" si="0"/>
        <v>61.323999999999998</v>
      </c>
      <c r="G69" s="667">
        <f t="shared" si="10"/>
        <v>1.7500000000000002E-2</v>
      </c>
      <c r="H69" s="67">
        <f t="shared" si="11"/>
        <v>0.86113679488864481</v>
      </c>
      <c r="I69" s="67">
        <f t="shared" si="12"/>
        <v>0.94928527940499019</v>
      </c>
      <c r="J69" s="661">
        <f t="shared" si="1"/>
        <v>52808.352809751261</v>
      </c>
      <c r="K69" s="661">
        <f t="shared" si="2"/>
        <v>0</v>
      </c>
      <c r="L69" s="661">
        <f t="shared" si="3"/>
        <v>17222.735897772895</v>
      </c>
      <c r="M69" s="661">
        <f t="shared" si="4"/>
        <v>49268.001918350878</v>
      </c>
      <c r="N69" s="661">
        <f t="shared" si="5"/>
        <v>16349.289658835696</v>
      </c>
      <c r="O69" s="661">
        <f>SUM(M69:M$75)</f>
        <v>741964.65417903627</v>
      </c>
      <c r="P69" s="661">
        <f>SUM(N69:N$75)</f>
        <v>87795.515161253221</v>
      </c>
      <c r="Q69" s="670">
        <f t="shared" si="6"/>
        <v>208648.91284534417</v>
      </c>
      <c r="R69" s="670">
        <f t="shared" si="7"/>
        <v>654169.13901778311</v>
      </c>
    </row>
    <row r="70" spans="1:18" ht="15.6">
      <c r="A70" s="693"/>
      <c r="B70" s="662">
        <f t="shared" si="8"/>
        <v>5</v>
      </c>
      <c r="C70" s="669">
        <f t="shared" si="9"/>
        <v>1000000</v>
      </c>
      <c r="D70" s="662">
        <f>0</f>
        <v>0</v>
      </c>
      <c r="E70" s="669">
        <f>20000</f>
        <v>20000</v>
      </c>
      <c r="F70" s="662">
        <f t="shared" si="0"/>
        <v>68.563999999999993</v>
      </c>
      <c r="G70" s="667">
        <f t="shared" si="10"/>
        <v>1.7500000000000002E-2</v>
      </c>
      <c r="H70" s="67">
        <f t="shared" si="11"/>
        <v>0.80832844207889354</v>
      </c>
      <c r="I70" s="67">
        <f t="shared" si="12"/>
        <v>0.93295850555772986</v>
      </c>
      <c r="J70" s="661">
        <f t="shared" si="1"/>
        <v>55422.231302697248</v>
      </c>
      <c r="K70" s="661">
        <f t="shared" si="2"/>
        <v>0</v>
      </c>
      <c r="L70" s="661">
        <f t="shared" si="3"/>
        <v>16166.568841577871</v>
      </c>
      <c r="M70" s="661">
        <f t="shared" si="4"/>
        <v>50817.338664215487</v>
      </c>
      <c r="N70" s="661">
        <f t="shared" si="5"/>
        <v>15082.737906434651</v>
      </c>
      <c r="O70" s="661">
        <f>SUM(M70:M$75)</f>
        <v>692696.65226068534</v>
      </c>
      <c r="P70" s="661">
        <f>SUM(N70:N$75)</f>
        <v>71446.22550241751</v>
      </c>
      <c r="Q70" s="661">
        <f t="shared" si="6"/>
        <v>258695.02188888588</v>
      </c>
      <c r="R70" s="661">
        <f t="shared" si="7"/>
        <v>621250.4267582678</v>
      </c>
    </row>
    <row r="71" spans="1:18" ht="15.6">
      <c r="A71" s="693"/>
      <c r="B71" s="662">
        <f t="shared" si="8"/>
        <v>6</v>
      </c>
      <c r="C71" s="669">
        <f t="shared" si="9"/>
        <v>1000000</v>
      </c>
      <c r="D71" s="662">
        <f>0</f>
        <v>0</v>
      </c>
      <c r="E71" s="669">
        <f>20000</f>
        <v>20000</v>
      </c>
      <c r="F71" s="662">
        <f t="shared" si="0"/>
        <v>76.664000000000001</v>
      </c>
      <c r="G71" s="667">
        <f t="shared" si="10"/>
        <v>1.7500000000000002E-2</v>
      </c>
      <c r="H71" s="67">
        <f t="shared" si="11"/>
        <v>0.75290621077619635</v>
      </c>
      <c r="I71" s="67">
        <f t="shared" si="12"/>
        <v>0.91691253617467305</v>
      </c>
      <c r="J71" s="661">
        <f t="shared" si="1"/>
        <v>57720.801742946322</v>
      </c>
      <c r="K71" s="661">
        <f t="shared" si="2"/>
        <v>0</v>
      </c>
      <c r="L71" s="661">
        <f t="shared" si="3"/>
        <v>15058.124215523927</v>
      </c>
      <c r="M71" s="661">
        <f t="shared" si="4"/>
        <v>52014.669991312432</v>
      </c>
      <c r="N71" s="661">
        <f t="shared" si="5"/>
        <v>13806.982864489302</v>
      </c>
      <c r="O71" s="661">
        <f>SUM(M71:M$75)</f>
        <v>641879.31359646993</v>
      </c>
      <c r="P71" s="661">
        <f>SUM(N71:N$75)</f>
        <v>56363.487595982871</v>
      </c>
      <c r="Q71" s="661">
        <f t="shared" si="6"/>
        <v>299498.09838070528</v>
      </c>
      <c r="R71" s="661">
        <f t="shared" si="7"/>
        <v>585515.82600048708</v>
      </c>
    </row>
    <row r="72" spans="1:18" ht="15.6">
      <c r="A72" s="693"/>
      <c r="B72" s="662">
        <f t="shared" si="8"/>
        <v>7</v>
      </c>
      <c r="C72" s="669">
        <f t="shared" si="9"/>
        <v>1000000</v>
      </c>
      <c r="D72" s="662">
        <f>0</f>
        <v>0</v>
      </c>
      <c r="E72" s="669">
        <f>20000</f>
        <v>20000</v>
      </c>
      <c r="F72" s="662">
        <f t="shared" si="0"/>
        <v>85.852000000000004</v>
      </c>
      <c r="G72" s="667">
        <f t="shared" si="10"/>
        <v>1.7500000000000002E-2</v>
      </c>
      <c r="H72" s="67">
        <f t="shared" si="11"/>
        <v>0.6951854090332501</v>
      </c>
      <c r="I72" s="67">
        <f t="shared" si="12"/>
        <v>0.90114254169501029</v>
      </c>
      <c r="J72" s="661">
        <f t="shared" si="1"/>
        <v>59683.057736322589</v>
      </c>
      <c r="K72" s="661">
        <f t="shared" si="2"/>
        <v>0</v>
      </c>
      <c r="L72" s="661">
        <f t="shared" si="3"/>
        <v>13903.708180665002</v>
      </c>
      <c r="M72" s="661">
        <f t="shared" si="4"/>
        <v>52857.92859424057</v>
      </c>
      <c r="N72" s="661">
        <f t="shared" si="5"/>
        <v>12529.222928910167</v>
      </c>
      <c r="O72" s="661">
        <f>SUM(M72:M$75)</f>
        <v>589864.6436051575</v>
      </c>
      <c r="P72" s="661">
        <f>SUM(N72:N$75)</f>
        <v>42556.504731493565</v>
      </c>
      <c r="Q72" s="661">
        <f t="shared" si="6"/>
        <v>331354.24215968919</v>
      </c>
      <c r="R72" s="661">
        <f t="shared" si="7"/>
        <v>547308.13887366396</v>
      </c>
    </row>
    <row r="73" spans="1:18" ht="15.6">
      <c r="A73" s="693"/>
      <c r="B73" s="662">
        <f t="shared" si="8"/>
        <v>8</v>
      </c>
      <c r="C73" s="669">
        <f t="shared" si="9"/>
        <v>1000000</v>
      </c>
      <c r="D73" s="662">
        <f>0</f>
        <v>0</v>
      </c>
      <c r="E73" s="669">
        <f>20000</f>
        <v>20000</v>
      </c>
      <c r="F73" s="662">
        <f t="shared" si="0"/>
        <v>96.137</v>
      </c>
      <c r="G73" s="667">
        <f t="shared" si="10"/>
        <v>1.7500000000000002E-2</v>
      </c>
      <c r="H73" s="67">
        <f t="shared" si="11"/>
        <v>0.63550235129692745</v>
      </c>
      <c r="I73" s="67">
        <f t="shared" si="12"/>
        <v>0.88564377562163166</v>
      </c>
      <c r="J73" s="661">
        <f t="shared" si="1"/>
        <v>61095.289546632717</v>
      </c>
      <c r="K73" s="661">
        <f t="shared" si="2"/>
        <v>0</v>
      </c>
      <c r="L73" s="661">
        <f t="shared" si="3"/>
        <v>12710.047025938549</v>
      </c>
      <c r="M73" s="661">
        <f t="shared" si="4"/>
        <v>53178.047082827128</v>
      </c>
      <c r="N73" s="661">
        <f t="shared" si="5"/>
        <v>11256.574036380707</v>
      </c>
      <c r="O73" s="661">
        <f>SUM(M73:M$75)</f>
        <v>537006.71501091693</v>
      </c>
      <c r="P73" s="661">
        <f>SUM(N73:N$75)</f>
        <v>30027.281802583399</v>
      </c>
      <c r="Q73" s="661">
        <f t="shared" si="6"/>
        <v>354605.34718059393</v>
      </c>
      <c r="R73" s="661">
        <f t="shared" si="7"/>
        <v>506979.43320833356</v>
      </c>
    </row>
    <row r="74" spans="1:18" ht="15.6">
      <c r="A74" s="693"/>
      <c r="B74" s="662">
        <f t="shared" si="8"/>
        <v>9</v>
      </c>
      <c r="C74" s="669">
        <f t="shared" si="9"/>
        <v>1000000</v>
      </c>
      <c r="D74" s="662">
        <f>0</f>
        <v>0</v>
      </c>
      <c r="E74" s="669">
        <f>20000</f>
        <v>20000</v>
      </c>
      <c r="F74" s="662">
        <f t="shared" si="0"/>
        <v>107.468</v>
      </c>
      <c r="G74" s="667">
        <f t="shared" si="10"/>
        <v>1.7500000000000002E-2</v>
      </c>
      <c r="H74" s="67">
        <f t="shared" si="11"/>
        <v>0.57440706175029477</v>
      </c>
      <c r="I74" s="67">
        <f t="shared" si="12"/>
        <v>0.8704115730925126</v>
      </c>
      <c r="J74" s="661">
        <f t="shared" si="1"/>
        <v>61730.378112180682</v>
      </c>
      <c r="K74" s="661">
        <f t="shared" si="2"/>
        <v>0</v>
      </c>
      <c r="L74" s="661">
        <f t="shared" si="3"/>
        <v>11488.141235005894</v>
      </c>
      <c r="M74" s="661">
        <f t="shared" si="4"/>
        <v>52806.717955988985</v>
      </c>
      <c r="N74" s="661">
        <f t="shared" si="5"/>
        <v>9999.4110842704413</v>
      </c>
      <c r="O74" s="661">
        <f>SUM(M74:M$75)</f>
        <v>483828.6679280898</v>
      </c>
      <c r="P74" s="661">
        <f>SUM(N74:N$75)</f>
        <v>18770.707766202693</v>
      </c>
      <c r="Q74" s="661">
        <f t="shared" si="6"/>
        <v>369805.60069847223</v>
      </c>
      <c r="R74" s="661">
        <f t="shared" si="7"/>
        <v>465057.96016188711</v>
      </c>
    </row>
    <row r="75" spans="1:18" ht="15.6">
      <c r="A75" s="693"/>
      <c r="B75" s="662">
        <f t="shared" si="8"/>
        <v>10</v>
      </c>
      <c r="C75" s="669">
        <f t="shared" si="9"/>
        <v>1000000</v>
      </c>
      <c r="D75" s="669">
        <f>C75</f>
        <v>1000000</v>
      </c>
      <c r="E75" s="669">
        <f>20000</f>
        <v>20000</v>
      </c>
      <c r="F75" s="662">
        <f t="shared" si="0"/>
        <v>119.742</v>
      </c>
      <c r="G75" s="667">
        <f t="shared" si="10"/>
        <v>1.7500000000000002E-2</v>
      </c>
      <c r="H75" s="67">
        <f t="shared" si="11"/>
        <v>0.51267668363811414</v>
      </c>
      <c r="I75" s="67">
        <f t="shared" si="12"/>
        <v>0.85544134947667083</v>
      </c>
      <c r="J75" s="661">
        <f t="shared" si="1"/>
        <v>61388.931452195066</v>
      </c>
      <c r="K75" s="661">
        <f t="shared" si="2"/>
        <v>451287.75218591909</v>
      </c>
      <c r="L75" s="661">
        <f t="shared" si="3"/>
        <v>10253.533672762283</v>
      </c>
      <c r="M75" s="661">
        <f t="shared" si="4"/>
        <v>431021.94997210079</v>
      </c>
      <c r="N75" s="661">
        <f t="shared" si="5"/>
        <v>8771.2966819322519</v>
      </c>
      <c r="O75" s="661">
        <f>SUM(M75:M$75)</f>
        <v>431021.94997210079</v>
      </c>
      <c r="P75" s="661">
        <f>SUM(N75:N$75)</f>
        <v>8771.2966819322519</v>
      </c>
      <c r="Q75" s="661">
        <f t="shared" si="6"/>
        <v>377740.52000622323</v>
      </c>
      <c r="R75" s="661">
        <f t="shared" si="7"/>
        <v>422250.65329016856</v>
      </c>
    </row>
    <row r="76" spans="1:18" ht="15.6">
      <c r="A76" s="693"/>
      <c r="B76" s="662"/>
      <c r="C76" s="662"/>
      <c r="D76" s="662"/>
      <c r="E76" s="662"/>
      <c r="F76" s="662"/>
      <c r="G76" s="662"/>
      <c r="L76" s="67" t="s">
        <v>378</v>
      </c>
      <c r="M76" s="661">
        <f>SUM(M66:M75)</f>
        <v>875988.99819400324</v>
      </c>
      <c r="N76" s="661">
        <f>SUM(N66:N75)</f>
        <v>144207.07924297301</v>
      </c>
    </row>
    <row r="77" spans="1:18" ht="15.6">
      <c r="A77" s="693"/>
      <c r="B77" s="662"/>
      <c r="C77" s="662"/>
      <c r="D77" s="662"/>
      <c r="E77" s="662"/>
      <c r="F77" s="662"/>
      <c r="G77" s="662"/>
      <c r="L77" s="67" t="s">
        <v>1248</v>
      </c>
      <c r="N77" s="661">
        <f>M76/N76</f>
        <v>6.0745214644979981</v>
      </c>
    </row>
    <row r="78" spans="1:18" ht="15.6">
      <c r="A78" s="693"/>
      <c r="B78" s="662"/>
      <c r="C78" s="662"/>
      <c r="D78" s="662"/>
      <c r="E78" s="662"/>
      <c r="F78" s="662"/>
      <c r="G78" s="662"/>
      <c r="L78" s="67" t="s">
        <v>1247</v>
      </c>
      <c r="N78" s="661">
        <f>MIN(1,N77)</f>
        <v>1</v>
      </c>
    </row>
    <row r="79" spans="1:18" ht="15.6">
      <c r="A79" s="693"/>
      <c r="B79" s="662"/>
      <c r="C79" s="662"/>
      <c r="D79" s="662"/>
      <c r="E79" s="662"/>
      <c r="F79" s="662"/>
      <c r="G79" s="662"/>
    </row>
    <row r="80" spans="1:18" ht="15.6">
      <c r="A80" s="692" t="s">
        <v>1246</v>
      </c>
      <c r="B80" s="691"/>
      <c r="C80" s="691"/>
      <c r="D80" s="691"/>
      <c r="E80" s="691"/>
      <c r="F80" s="691"/>
      <c r="G80" s="691"/>
    </row>
    <row r="81" spans="1:8" ht="15.6">
      <c r="A81" s="407" t="s">
        <v>24</v>
      </c>
      <c r="B81" s="662"/>
      <c r="C81" s="662"/>
      <c r="D81" s="662"/>
      <c r="E81" s="662"/>
      <c r="F81" s="662"/>
      <c r="G81" s="662"/>
    </row>
    <row r="82" spans="1:8">
      <c r="A82" s="662"/>
      <c r="B82" s="662" t="s">
        <v>1245</v>
      </c>
      <c r="C82" s="662"/>
      <c r="D82" s="662"/>
      <c r="E82" s="662"/>
      <c r="F82" s="662"/>
      <c r="G82" s="662"/>
    </row>
    <row r="83" spans="1:8">
      <c r="B83" s="67" t="s">
        <v>1244</v>
      </c>
    </row>
    <row r="84" spans="1:8">
      <c r="B84" s="67" t="s">
        <v>1243</v>
      </c>
    </row>
    <row r="85" spans="1:8">
      <c r="B85" s="67" t="s">
        <v>1242</v>
      </c>
    </row>
    <row r="86" spans="1:8">
      <c r="B86" s="67" t="s">
        <v>1241</v>
      </c>
    </row>
    <row r="87" spans="1:8">
      <c r="B87" s="67" t="s">
        <v>1240</v>
      </c>
    </row>
    <row r="88" spans="1:8">
      <c r="B88" s="67" t="s">
        <v>1239</v>
      </c>
    </row>
    <row r="90" spans="1:8">
      <c r="B90" s="471" t="s">
        <v>1238</v>
      </c>
      <c r="C90" s="471"/>
      <c r="D90" s="471"/>
      <c r="E90" s="471"/>
      <c r="F90" s="471"/>
      <c r="G90" s="471"/>
      <c r="H90" s="471"/>
    </row>
    <row r="91" spans="1:8">
      <c r="B91" s="67" t="s">
        <v>1237</v>
      </c>
    </row>
    <row r="92" spans="1:8">
      <c r="B92" s="67" t="s">
        <v>1236</v>
      </c>
    </row>
    <row r="93" spans="1:8">
      <c r="B93" s="690" t="s">
        <v>1235</v>
      </c>
    </row>
    <row r="94" spans="1:8">
      <c r="B94" s="67" t="s">
        <v>1234</v>
      </c>
    </row>
    <row r="95" spans="1:8">
      <c r="B95" s="67" t="s">
        <v>1233</v>
      </c>
    </row>
    <row r="96" spans="1:8">
      <c r="B96" s="67" t="s">
        <v>1232</v>
      </c>
    </row>
    <row r="97" spans="2:16">
      <c r="B97" s="67" t="s">
        <v>1231</v>
      </c>
    </row>
    <row r="98" spans="2:16">
      <c r="B98" s="67" t="s">
        <v>1230</v>
      </c>
    </row>
    <row r="99" spans="2:16">
      <c r="B99" s="67" t="s">
        <v>1229</v>
      </c>
    </row>
    <row r="100" spans="2:16">
      <c r="B100" s="67" t="s">
        <v>1228</v>
      </c>
    </row>
    <row r="101" spans="2:16">
      <c r="B101" s="67" t="s">
        <v>1227</v>
      </c>
    </row>
    <row r="103" spans="2:16">
      <c r="B103" s="67" t="s">
        <v>1226</v>
      </c>
    </row>
    <row r="104" spans="2:16">
      <c r="C104" s="671" t="s">
        <v>1210</v>
      </c>
      <c r="D104" s="689" t="s">
        <v>436</v>
      </c>
      <c r="H104" s="671" t="s">
        <v>1201</v>
      </c>
      <c r="I104" s="671" t="s">
        <v>1201</v>
      </c>
      <c r="J104" s="671" t="s">
        <v>1225</v>
      </c>
      <c r="K104" s="671" t="s">
        <v>1225</v>
      </c>
      <c r="L104" s="671" t="s">
        <v>1224</v>
      </c>
      <c r="P104" s="671" t="s">
        <v>1223</v>
      </c>
    </row>
    <row r="105" spans="2:16">
      <c r="B105" s="671"/>
      <c r="C105" s="671" t="s">
        <v>1199</v>
      </c>
      <c r="D105" s="671" t="s">
        <v>1222</v>
      </c>
      <c r="E105" s="687" t="s">
        <v>1207</v>
      </c>
      <c r="F105" s="688"/>
      <c r="G105" s="687" t="s">
        <v>1201</v>
      </c>
      <c r="H105" s="687" t="s">
        <v>1194</v>
      </c>
      <c r="I105" s="687" t="s">
        <v>1194</v>
      </c>
      <c r="J105" s="687" t="s">
        <v>1221</v>
      </c>
      <c r="K105" s="687" t="s">
        <v>1221</v>
      </c>
      <c r="L105" s="687" t="s">
        <v>1220</v>
      </c>
      <c r="O105" s="687" t="s">
        <v>1199</v>
      </c>
      <c r="P105" s="687" t="s">
        <v>1220</v>
      </c>
    </row>
    <row r="106" spans="2:16">
      <c r="B106" s="671"/>
      <c r="C106" s="671" t="s">
        <v>1057</v>
      </c>
      <c r="D106" s="685" t="s">
        <v>1012</v>
      </c>
      <c r="E106" s="671" t="s">
        <v>1202</v>
      </c>
      <c r="F106" s="671" t="s">
        <v>1203</v>
      </c>
      <c r="G106" s="671" t="s">
        <v>1194</v>
      </c>
      <c r="H106" s="671" t="s">
        <v>1200</v>
      </c>
      <c r="I106" s="671" t="s">
        <v>1198</v>
      </c>
      <c r="J106" s="671" t="s">
        <v>1198</v>
      </c>
      <c r="K106" s="671" t="s">
        <v>1199</v>
      </c>
      <c r="L106" s="671" t="s">
        <v>1057</v>
      </c>
      <c r="O106" s="671" t="s">
        <v>1057</v>
      </c>
      <c r="P106" s="671" t="s">
        <v>1057</v>
      </c>
    </row>
    <row r="107" spans="2:16">
      <c r="B107" s="686" t="s">
        <v>374</v>
      </c>
      <c r="C107" s="685" t="s">
        <v>1190</v>
      </c>
      <c r="D107" s="671" t="s">
        <v>1219</v>
      </c>
      <c r="E107" s="671" t="s">
        <v>1195</v>
      </c>
      <c r="F107" s="684" t="s">
        <v>1197</v>
      </c>
      <c r="G107" s="684" t="s">
        <v>1191</v>
      </c>
      <c r="H107" s="683" t="s">
        <v>1193</v>
      </c>
      <c r="I107" s="671" t="s">
        <v>1191</v>
      </c>
      <c r="J107" s="671" t="s">
        <v>1191</v>
      </c>
      <c r="K107" s="671" t="s">
        <v>1192</v>
      </c>
      <c r="L107" s="671" t="s">
        <v>1189</v>
      </c>
      <c r="M107" s="671" t="s">
        <v>1218</v>
      </c>
      <c r="N107" s="671" t="s">
        <v>1193</v>
      </c>
      <c r="O107" s="671" t="s">
        <v>1217</v>
      </c>
      <c r="P107" s="671" t="s">
        <v>1189</v>
      </c>
    </row>
    <row r="108" spans="2:16">
      <c r="B108" s="680">
        <v>1</v>
      </c>
      <c r="C108" s="681">
        <f>0</f>
        <v>0</v>
      </c>
      <c r="D108" s="678">
        <f t="shared" ref="D108:D117" si="13">D26</f>
        <v>42.817999999999998</v>
      </c>
      <c r="E108" s="677">
        <f t="shared" ref="E108:E117" si="14">B$13</f>
        <v>4.4999999999999998E-2</v>
      </c>
      <c r="F108" s="674">
        <f t="shared" ref="F108:F117" si="15">B$8</f>
        <v>1000000</v>
      </c>
      <c r="G108" s="676">
        <f>1</f>
        <v>1</v>
      </c>
      <c r="H108" s="682">
        <f>1</f>
        <v>1</v>
      </c>
      <c r="I108" s="673">
        <f t="shared" ref="I108:I117" si="16">F108*G108</f>
        <v>1000000</v>
      </c>
      <c r="J108" s="673">
        <f t="shared" ref="J108:J117" si="17">F108*G108*H108</f>
        <v>1000000</v>
      </c>
      <c r="K108" s="661">
        <f t="shared" ref="K108:K117" si="18">C108*H108/(1+E108)</f>
        <v>0</v>
      </c>
      <c r="L108" s="661">
        <f>0</f>
        <v>0</v>
      </c>
      <c r="M108" s="661">
        <f t="shared" ref="M108:M117" si="19">K$119*I108</f>
        <v>59.108018380409732</v>
      </c>
      <c r="N108" s="661">
        <f t="shared" ref="N108:N117" si="20">E108*(L108+M108)</f>
        <v>2.6598608271184379</v>
      </c>
      <c r="O108" s="661">
        <f t="shared" ref="O108:O117" si="21">C108</f>
        <v>0</v>
      </c>
      <c r="P108" s="661">
        <f t="shared" ref="P108:P117" si="22">L108+M108+N108-O108</f>
        <v>61.767879207528168</v>
      </c>
    </row>
    <row r="109" spans="2:16">
      <c r="B109" s="680">
        <f t="shared" ref="B109:B117" si="23">B108+1</f>
        <v>2</v>
      </c>
      <c r="C109" s="681">
        <f>0</f>
        <v>0</v>
      </c>
      <c r="D109" s="678">
        <f t="shared" si="13"/>
        <v>48.328000000000003</v>
      </c>
      <c r="E109" s="677">
        <f t="shared" si="14"/>
        <v>4.4999999999999998E-2</v>
      </c>
      <c r="F109" s="674">
        <f t="shared" si="15"/>
        <v>1000000</v>
      </c>
      <c r="G109" s="676">
        <f t="shared" ref="G109:G117" si="24">G108*(1-D108/1000)</f>
        <v>0.95718199999999998</v>
      </c>
      <c r="H109" s="675">
        <f t="shared" ref="H109:H117" si="25">H108/(1+E108)</f>
        <v>0.95693779904306231</v>
      </c>
      <c r="I109" s="673">
        <f t="shared" si="16"/>
        <v>957182</v>
      </c>
      <c r="J109" s="673">
        <f t="shared" si="17"/>
        <v>915963.63636363647</v>
      </c>
      <c r="K109" s="661">
        <f t="shared" si="18"/>
        <v>0</v>
      </c>
      <c r="L109" s="661">
        <f t="shared" ref="L109:L117" si="26">P108</f>
        <v>61.767879207528168</v>
      </c>
      <c r="M109" s="661">
        <f t="shared" si="19"/>
        <v>56.577131249397347</v>
      </c>
      <c r="N109" s="661">
        <f t="shared" si="20"/>
        <v>5.3255254705616473</v>
      </c>
      <c r="O109" s="661">
        <f t="shared" si="21"/>
        <v>0</v>
      </c>
      <c r="P109" s="661">
        <f t="shared" si="22"/>
        <v>123.67053592748715</v>
      </c>
    </row>
    <row r="110" spans="2:16">
      <c r="B110" s="680">
        <f t="shared" si="23"/>
        <v>3</v>
      </c>
      <c r="C110" s="681">
        <f>0</f>
        <v>0</v>
      </c>
      <c r="D110" s="678">
        <f t="shared" si="13"/>
        <v>54.655000000000001</v>
      </c>
      <c r="E110" s="677">
        <f t="shared" si="14"/>
        <v>4.4999999999999998E-2</v>
      </c>
      <c r="F110" s="674">
        <f t="shared" si="15"/>
        <v>1000000</v>
      </c>
      <c r="G110" s="676">
        <f t="shared" si="24"/>
        <v>0.91092330830399992</v>
      </c>
      <c r="H110" s="675">
        <f t="shared" si="25"/>
        <v>0.91572995123738021</v>
      </c>
      <c r="I110" s="673">
        <f t="shared" si="16"/>
        <v>910923.30830399995</v>
      </c>
      <c r="J110" s="673">
        <f t="shared" si="17"/>
        <v>834159.75669421488</v>
      </c>
      <c r="K110" s="661">
        <f t="shared" si="18"/>
        <v>0</v>
      </c>
      <c r="L110" s="661">
        <f t="shared" si="26"/>
        <v>123.67053592748715</v>
      </c>
      <c r="M110" s="661">
        <f t="shared" si="19"/>
        <v>53.842871650376473</v>
      </c>
      <c r="N110" s="661">
        <f t="shared" si="20"/>
        <v>7.9881033410038631</v>
      </c>
      <c r="O110" s="661">
        <f t="shared" si="21"/>
        <v>0</v>
      </c>
      <c r="P110" s="670">
        <f t="shared" si="22"/>
        <v>185.5015109188675</v>
      </c>
    </row>
    <row r="111" spans="2:16">
      <c r="B111" s="680">
        <f t="shared" si="23"/>
        <v>4</v>
      </c>
      <c r="C111" s="681">
        <f>0</f>
        <v>0</v>
      </c>
      <c r="D111" s="678">
        <f t="shared" si="13"/>
        <v>61.323999999999998</v>
      </c>
      <c r="E111" s="677">
        <f t="shared" si="14"/>
        <v>4.4999999999999998E-2</v>
      </c>
      <c r="F111" s="674">
        <f t="shared" si="15"/>
        <v>1000000</v>
      </c>
      <c r="G111" s="676">
        <f t="shared" si="24"/>
        <v>0.86113679488864481</v>
      </c>
      <c r="H111" s="675">
        <f t="shared" si="25"/>
        <v>0.87629660405490939</v>
      </c>
      <c r="I111" s="673">
        <f t="shared" si="16"/>
        <v>861136.79488864483</v>
      </c>
      <c r="J111" s="673">
        <f t="shared" si="17"/>
        <v>754611.24898764852</v>
      </c>
      <c r="K111" s="661">
        <f t="shared" si="18"/>
        <v>0</v>
      </c>
      <c r="L111" s="661">
        <f t="shared" si="26"/>
        <v>185.5015109188675</v>
      </c>
      <c r="M111" s="661">
        <f t="shared" si="19"/>
        <v>50.900089500325144</v>
      </c>
      <c r="N111" s="661">
        <f t="shared" si="20"/>
        <v>10.638072018863669</v>
      </c>
      <c r="O111" s="661">
        <f t="shared" si="21"/>
        <v>0</v>
      </c>
      <c r="P111" s="661">
        <f t="shared" si="22"/>
        <v>247.03967243805633</v>
      </c>
    </row>
    <row r="112" spans="2:16">
      <c r="B112" s="680">
        <f t="shared" si="23"/>
        <v>5</v>
      </c>
      <c r="C112" s="681">
        <f>0</f>
        <v>0</v>
      </c>
      <c r="D112" s="678">
        <f t="shared" si="13"/>
        <v>68.563999999999993</v>
      </c>
      <c r="E112" s="677">
        <f t="shared" si="14"/>
        <v>4.4999999999999998E-2</v>
      </c>
      <c r="F112" s="674">
        <f t="shared" si="15"/>
        <v>1000000</v>
      </c>
      <c r="G112" s="676">
        <f t="shared" si="24"/>
        <v>0.80832844207889354</v>
      </c>
      <c r="H112" s="675">
        <f t="shared" si="25"/>
        <v>0.83856134359321477</v>
      </c>
      <c r="I112" s="673">
        <f t="shared" si="16"/>
        <v>808328.44207889354</v>
      </c>
      <c r="J112" s="673">
        <f t="shared" si="17"/>
        <v>677832.9844542871</v>
      </c>
      <c r="K112" s="661">
        <f t="shared" si="18"/>
        <v>0</v>
      </c>
      <c r="L112" s="661">
        <f t="shared" si="26"/>
        <v>247.03967243805633</v>
      </c>
      <c r="M112" s="661">
        <f t="shared" si="19"/>
        <v>47.778692411807206</v>
      </c>
      <c r="N112" s="661">
        <f t="shared" si="20"/>
        <v>13.266826418243859</v>
      </c>
      <c r="O112" s="661">
        <f t="shared" si="21"/>
        <v>0</v>
      </c>
      <c r="P112" s="661">
        <f t="shared" si="22"/>
        <v>308.08519126810739</v>
      </c>
    </row>
    <row r="113" spans="2:18">
      <c r="B113" s="680">
        <f t="shared" si="23"/>
        <v>6</v>
      </c>
      <c r="C113" s="681">
        <f>0</f>
        <v>0</v>
      </c>
      <c r="D113" s="678">
        <f t="shared" si="13"/>
        <v>76.664000000000001</v>
      </c>
      <c r="E113" s="677">
        <f t="shared" si="14"/>
        <v>4.4999999999999998E-2</v>
      </c>
      <c r="F113" s="674">
        <f t="shared" si="15"/>
        <v>1000000</v>
      </c>
      <c r="G113" s="676">
        <f t="shared" si="24"/>
        <v>0.75290621077619635</v>
      </c>
      <c r="H113" s="675">
        <f t="shared" si="25"/>
        <v>0.802451046500684</v>
      </c>
      <c r="I113" s="673">
        <f t="shared" si="16"/>
        <v>752906.21077619633</v>
      </c>
      <c r="J113" s="673">
        <f t="shared" si="17"/>
        <v>604170.37675422325</v>
      </c>
      <c r="K113" s="661">
        <f t="shared" si="18"/>
        <v>0</v>
      </c>
      <c r="L113" s="661">
        <f t="shared" si="26"/>
        <v>308.08519126810739</v>
      </c>
      <c r="M113" s="661">
        <f t="shared" si="19"/>
        <v>44.502794145284057</v>
      </c>
      <c r="N113" s="661">
        <f t="shared" si="20"/>
        <v>15.866459343602614</v>
      </c>
      <c r="O113" s="661">
        <f t="shared" si="21"/>
        <v>0</v>
      </c>
      <c r="P113" s="661">
        <f t="shared" si="22"/>
        <v>368.45444475699406</v>
      </c>
    </row>
    <row r="114" spans="2:18">
      <c r="B114" s="680">
        <f t="shared" si="23"/>
        <v>7</v>
      </c>
      <c r="C114" s="681">
        <f>0</f>
        <v>0</v>
      </c>
      <c r="D114" s="678">
        <f t="shared" si="13"/>
        <v>85.852000000000004</v>
      </c>
      <c r="E114" s="677">
        <f t="shared" si="14"/>
        <v>4.4999999999999998E-2</v>
      </c>
      <c r="F114" s="674">
        <f t="shared" si="15"/>
        <v>1000000</v>
      </c>
      <c r="G114" s="676">
        <f t="shared" si="24"/>
        <v>0.6951854090332501</v>
      </c>
      <c r="H114" s="675">
        <f t="shared" si="25"/>
        <v>0.7678957382781666</v>
      </c>
      <c r="I114" s="673">
        <f t="shared" si="16"/>
        <v>695185.40903325006</v>
      </c>
      <c r="J114" s="673">
        <f t="shared" si="17"/>
        <v>533829.91290979681</v>
      </c>
      <c r="K114" s="661">
        <f t="shared" si="18"/>
        <v>0</v>
      </c>
      <c r="L114" s="661">
        <f t="shared" si="26"/>
        <v>368.45444475699406</v>
      </c>
      <c r="M114" s="661">
        <f t="shared" si="19"/>
        <v>41.091031934930001</v>
      </c>
      <c r="N114" s="661">
        <f t="shared" si="20"/>
        <v>18.429546451136584</v>
      </c>
      <c r="O114" s="661">
        <f t="shared" si="21"/>
        <v>0</v>
      </c>
      <c r="P114" s="661">
        <f t="shared" si="22"/>
        <v>427.97502314306064</v>
      </c>
    </row>
    <row r="115" spans="2:18">
      <c r="B115" s="680">
        <f t="shared" si="23"/>
        <v>8</v>
      </c>
      <c r="C115" s="681">
        <f>0</f>
        <v>0</v>
      </c>
      <c r="D115" s="678">
        <f t="shared" si="13"/>
        <v>96.137</v>
      </c>
      <c r="E115" s="677">
        <f t="shared" si="14"/>
        <v>4.4999999999999998E-2</v>
      </c>
      <c r="F115" s="674">
        <f t="shared" si="15"/>
        <v>1000000</v>
      </c>
      <c r="G115" s="676">
        <f t="shared" si="24"/>
        <v>0.63550235129692745</v>
      </c>
      <c r="H115" s="675">
        <f t="shared" si="25"/>
        <v>0.73482845768245608</v>
      </c>
      <c r="I115" s="673">
        <f t="shared" si="16"/>
        <v>635502.35129692743</v>
      </c>
      <c r="J115" s="673">
        <f t="shared" si="17"/>
        <v>466985.21265709557</v>
      </c>
      <c r="K115" s="661">
        <f t="shared" si="18"/>
        <v>0</v>
      </c>
      <c r="L115" s="661">
        <f t="shared" si="26"/>
        <v>427.97502314306064</v>
      </c>
      <c r="M115" s="661">
        <f t="shared" si="19"/>
        <v>37.563284661252389</v>
      </c>
      <c r="N115" s="661">
        <f t="shared" si="20"/>
        <v>20.949223851194088</v>
      </c>
      <c r="O115" s="661">
        <f t="shared" si="21"/>
        <v>0</v>
      </c>
      <c r="P115" s="661">
        <f t="shared" si="22"/>
        <v>486.4875316555071</v>
      </c>
    </row>
    <row r="116" spans="2:18">
      <c r="B116" s="680">
        <f t="shared" si="23"/>
        <v>9</v>
      </c>
      <c r="C116" s="681">
        <f>0</f>
        <v>0</v>
      </c>
      <c r="D116" s="678">
        <f t="shared" si="13"/>
        <v>107.468</v>
      </c>
      <c r="E116" s="677">
        <f t="shared" si="14"/>
        <v>4.4999999999999998E-2</v>
      </c>
      <c r="F116" s="674">
        <f t="shared" si="15"/>
        <v>1000000</v>
      </c>
      <c r="G116" s="676">
        <f t="shared" si="24"/>
        <v>0.57440706175029477</v>
      </c>
      <c r="H116" s="675">
        <f t="shared" si="25"/>
        <v>0.70318512696885749</v>
      </c>
      <c r="I116" s="673">
        <f t="shared" si="16"/>
        <v>574407.06175029476</v>
      </c>
      <c r="J116" s="673">
        <f t="shared" si="17"/>
        <v>403914.50264868938</v>
      </c>
      <c r="K116" s="661">
        <f t="shared" si="18"/>
        <v>0</v>
      </c>
      <c r="L116" s="661">
        <f t="shared" si="26"/>
        <v>486.4875316555071</v>
      </c>
      <c r="M116" s="661">
        <f t="shared" si="19"/>
        <v>33.952063163773573</v>
      </c>
      <c r="N116" s="661">
        <f t="shared" si="20"/>
        <v>23.419781766867633</v>
      </c>
      <c r="O116" s="661">
        <f t="shared" si="21"/>
        <v>0</v>
      </c>
      <c r="P116" s="661">
        <f t="shared" si="22"/>
        <v>543.85937658614841</v>
      </c>
    </row>
    <row r="117" spans="2:18">
      <c r="B117" s="680">
        <f t="shared" si="23"/>
        <v>10</v>
      </c>
      <c r="C117" s="679">
        <v>600</v>
      </c>
      <c r="D117" s="678">
        <f t="shared" si="13"/>
        <v>119.742</v>
      </c>
      <c r="E117" s="677">
        <f t="shared" si="14"/>
        <v>4.4999999999999998E-2</v>
      </c>
      <c r="F117" s="674">
        <f t="shared" si="15"/>
        <v>1000000</v>
      </c>
      <c r="G117" s="676">
        <f t="shared" si="24"/>
        <v>0.51267668363811414</v>
      </c>
      <c r="H117" s="675">
        <f t="shared" si="25"/>
        <v>0.6729044277213948</v>
      </c>
      <c r="I117" s="673">
        <f t="shared" si="16"/>
        <v>512676.68363811413</v>
      </c>
      <c r="J117" s="673">
        <f t="shared" si="17"/>
        <v>344982.41040960775</v>
      </c>
      <c r="K117" s="661">
        <f t="shared" si="18"/>
        <v>386.35660921802577</v>
      </c>
      <c r="L117" s="661">
        <f t="shared" si="26"/>
        <v>543.85937658614841</v>
      </c>
      <c r="M117" s="661">
        <f t="shared" si="19"/>
        <v>30.303302839689156</v>
      </c>
      <c r="N117" s="661">
        <f t="shared" si="20"/>
        <v>25.837320574162693</v>
      </c>
      <c r="O117" s="661">
        <f t="shared" si="21"/>
        <v>600</v>
      </c>
      <c r="P117" s="661">
        <f t="shared" si="22"/>
        <v>0</v>
      </c>
    </row>
    <row r="118" spans="2:18">
      <c r="C118" s="664"/>
      <c r="D118" s="674"/>
      <c r="I118" s="664" t="s">
        <v>378</v>
      </c>
      <c r="J118" s="673">
        <f>SUM(J108:J117)</f>
        <v>6536450.0418792004</v>
      </c>
      <c r="K118" s="673">
        <f>SUM(K108:K117)</f>
        <v>386.35660921802577</v>
      </c>
    </row>
    <row r="119" spans="2:18">
      <c r="C119" s="664"/>
      <c r="D119" s="672"/>
      <c r="J119" s="67" t="s">
        <v>1216</v>
      </c>
      <c r="K119" s="663">
        <f>K118/J118</f>
        <v>5.9108018380409733E-5</v>
      </c>
    </row>
    <row r="121" spans="2:18">
      <c r="B121" s="67" t="s">
        <v>1215</v>
      </c>
    </row>
    <row r="122" spans="2:18">
      <c r="B122" s="67" t="s">
        <v>1214</v>
      </c>
    </row>
    <row r="123" spans="2:18">
      <c r="B123" s="67" t="s">
        <v>1213</v>
      </c>
    </row>
    <row r="125" spans="2:18">
      <c r="B125" s="67" t="s">
        <v>1212</v>
      </c>
    </row>
    <row r="127" spans="2:18">
      <c r="B127" s="662" t="s">
        <v>1211</v>
      </c>
      <c r="C127" s="662"/>
      <c r="D127" s="662"/>
      <c r="E127" s="662"/>
      <c r="F127" s="662"/>
      <c r="G127" s="662"/>
      <c r="Q127" s="671"/>
      <c r="R127" s="671"/>
    </row>
    <row r="128" spans="2:18">
      <c r="C128" s="671" t="s">
        <v>1210</v>
      </c>
      <c r="F128" s="671"/>
      <c r="G128" s="671" t="s">
        <v>1059</v>
      </c>
      <c r="H128" s="671"/>
      <c r="I128" s="671" t="s">
        <v>1209</v>
      </c>
      <c r="J128" s="67" t="s">
        <v>1208</v>
      </c>
      <c r="L128" s="671" t="s">
        <v>1208</v>
      </c>
      <c r="M128" s="671" t="s">
        <v>1208</v>
      </c>
      <c r="P128" s="671"/>
      <c r="Q128" s="671"/>
      <c r="R128" s="671"/>
    </row>
    <row r="129" spans="2:18">
      <c r="C129" s="67" t="s">
        <v>1199</v>
      </c>
      <c r="E129" s="671" t="s">
        <v>1058</v>
      </c>
      <c r="F129" s="671" t="s">
        <v>1207</v>
      </c>
      <c r="G129" s="671" t="s">
        <v>1191</v>
      </c>
      <c r="H129" s="671"/>
      <c r="I129" s="671" t="s">
        <v>1199</v>
      </c>
      <c r="J129" s="671" t="s">
        <v>1206</v>
      </c>
      <c r="L129" s="671" t="s">
        <v>1205</v>
      </c>
      <c r="M129" s="671" t="s">
        <v>1204</v>
      </c>
      <c r="N129" s="671" t="s">
        <v>1199</v>
      </c>
      <c r="O129" s="671" t="s">
        <v>1199</v>
      </c>
      <c r="P129" s="671" t="s">
        <v>1199</v>
      </c>
      <c r="Q129" s="671"/>
      <c r="R129" s="671"/>
    </row>
    <row r="130" spans="2:18">
      <c r="B130" s="671"/>
      <c r="C130" s="671" t="s">
        <v>1057</v>
      </c>
      <c r="D130" s="671" t="s">
        <v>1203</v>
      </c>
      <c r="E130" s="671" t="s">
        <v>1012</v>
      </c>
      <c r="F130" s="671" t="s">
        <v>1202</v>
      </c>
      <c r="G130" s="671" t="s">
        <v>1201</v>
      </c>
      <c r="H130" s="671" t="s">
        <v>1200</v>
      </c>
      <c r="I130" s="671" t="s">
        <v>1057</v>
      </c>
      <c r="J130" s="671" t="s">
        <v>1198</v>
      </c>
      <c r="L130" s="671" t="s">
        <v>1199</v>
      </c>
      <c r="M130" s="671" t="s">
        <v>1198</v>
      </c>
      <c r="N130" s="671" t="s">
        <v>1057</v>
      </c>
      <c r="O130" s="671" t="s">
        <v>1057</v>
      </c>
      <c r="P130" s="671" t="s">
        <v>1057</v>
      </c>
      <c r="Q130" s="671"/>
      <c r="R130" s="671"/>
    </row>
    <row r="131" spans="2:18">
      <c r="B131" s="671" t="s">
        <v>374</v>
      </c>
      <c r="C131" s="671" t="s">
        <v>1190</v>
      </c>
      <c r="D131" s="671" t="s">
        <v>1197</v>
      </c>
      <c r="E131" s="671" t="s">
        <v>1196</v>
      </c>
      <c r="F131" s="671" t="s">
        <v>1195</v>
      </c>
      <c r="G131" s="671" t="s">
        <v>1194</v>
      </c>
      <c r="H131" s="671" t="s">
        <v>1193</v>
      </c>
      <c r="I131" s="671" t="s">
        <v>1190</v>
      </c>
      <c r="J131" s="671" t="s">
        <v>1191</v>
      </c>
      <c r="K131" s="671" t="s">
        <v>374</v>
      </c>
      <c r="L131" s="671" t="s">
        <v>1192</v>
      </c>
      <c r="M131" s="671" t="s">
        <v>1191</v>
      </c>
      <c r="N131" s="671" t="s">
        <v>726</v>
      </c>
      <c r="O131" s="671" t="s">
        <v>1190</v>
      </c>
      <c r="P131" s="671" t="s">
        <v>1189</v>
      </c>
      <c r="Q131" s="671"/>
      <c r="R131" s="671"/>
    </row>
    <row r="132" spans="2:18">
      <c r="B132" s="662">
        <f>1</f>
        <v>1</v>
      </c>
      <c r="C132" s="669">
        <f>B77</f>
        <v>0</v>
      </c>
      <c r="D132" s="669">
        <f t="shared" ref="D132:D141" si="27">B$8</f>
        <v>1000000</v>
      </c>
      <c r="E132" s="668">
        <f t="shared" ref="E132:E141" si="28">D26</f>
        <v>42.817999999999998</v>
      </c>
      <c r="F132" s="667">
        <f>B13</f>
        <v>4.4999999999999998E-2</v>
      </c>
      <c r="G132" s="666">
        <f>1</f>
        <v>1</v>
      </c>
      <c r="H132" s="67">
        <f>1</f>
        <v>1</v>
      </c>
      <c r="I132" s="665">
        <f t="shared" ref="I132:I141" si="29">C132*H132/(1+F132)</f>
        <v>0</v>
      </c>
      <c r="J132" s="661">
        <f t="shared" ref="J132:J141" si="30">D132*G132*H132</f>
        <v>1000000</v>
      </c>
      <c r="K132" s="67">
        <f>0</f>
        <v>0</v>
      </c>
      <c r="L132" s="661">
        <f>SUM(I132:I$141)</f>
        <v>386.35660921802577</v>
      </c>
      <c r="M132" s="661">
        <f>SUM(J132:J$141)/H132</f>
        <v>6536450.0418792004</v>
      </c>
      <c r="N132" s="661">
        <f t="shared" ref="N132:N142" si="31">L132-M132*J$143</f>
        <v>0</v>
      </c>
      <c r="O132" s="661">
        <f>0</f>
        <v>0</v>
      </c>
      <c r="P132" s="661">
        <f t="shared" ref="P132:P142" si="32">N132-O132</f>
        <v>0</v>
      </c>
      <c r="Q132" s="661"/>
      <c r="R132" s="661"/>
    </row>
    <row r="133" spans="2:18">
      <c r="B133" s="662">
        <f t="shared" ref="B133:B141" si="33">B132+1</f>
        <v>2</v>
      </c>
      <c r="C133" s="669">
        <f t="shared" ref="C133:C140" si="34">C132</f>
        <v>0</v>
      </c>
      <c r="D133" s="669">
        <f t="shared" si="27"/>
        <v>1000000</v>
      </c>
      <c r="E133" s="668">
        <f t="shared" si="28"/>
        <v>48.328000000000003</v>
      </c>
      <c r="F133" s="667">
        <f t="shared" ref="F133:F141" si="35">F132</f>
        <v>4.4999999999999998E-2</v>
      </c>
      <c r="G133" s="666">
        <f t="shared" ref="G133:G141" si="36">G132*(1-E132/1000)</f>
        <v>0.95718199999999998</v>
      </c>
      <c r="H133" s="67">
        <f t="shared" ref="H133:H141" si="37">H132/(1+F132)</f>
        <v>0.95693779904306231</v>
      </c>
      <c r="I133" s="665">
        <f t="shared" si="29"/>
        <v>0</v>
      </c>
      <c r="J133" s="661">
        <f t="shared" si="30"/>
        <v>915963.63636363647</v>
      </c>
      <c r="K133" s="67">
        <f t="shared" ref="K133:K142" si="38">K132+1</f>
        <v>1</v>
      </c>
      <c r="L133" s="661">
        <f t="shared" ref="L133:L142" si="39">L132*(1+F132)</f>
        <v>403.74265663283688</v>
      </c>
      <c r="M133" s="661">
        <f>SUM(J133:J$141)/H133</f>
        <v>5785590.2937637642</v>
      </c>
      <c r="N133" s="661">
        <f t="shared" si="31"/>
        <v>61.767879207528154</v>
      </c>
      <c r="O133" s="661">
        <f t="shared" ref="O133:O142" si="40">C132</f>
        <v>0</v>
      </c>
      <c r="P133" s="661">
        <f t="shared" si="32"/>
        <v>61.767879207528154</v>
      </c>
      <c r="Q133" s="661"/>
      <c r="R133" s="661"/>
    </row>
    <row r="134" spans="2:18">
      <c r="B134" s="662">
        <f t="shared" si="33"/>
        <v>3</v>
      </c>
      <c r="C134" s="669">
        <f t="shared" si="34"/>
        <v>0</v>
      </c>
      <c r="D134" s="669">
        <f t="shared" si="27"/>
        <v>1000000</v>
      </c>
      <c r="E134" s="668">
        <f t="shared" si="28"/>
        <v>54.655000000000001</v>
      </c>
      <c r="F134" s="667">
        <f t="shared" si="35"/>
        <v>4.4999999999999998E-2</v>
      </c>
      <c r="G134" s="666">
        <f t="shared" si="36"/>
        <v>0.91092330830399992</v>
      </c>
      <c r="H134" s="67">
        <f t="shared" si="37"/>
        <v>0.91572995123738021</v>
      </c>
      <c r="I134" s="665">
        <f t="shared" si="29"/>
        <v>0</v>
      </c>
      <c r="J134" s="661">
        <f t="shared" si="30"/>
        <v>834159.75669421488</v>
      </c>
      <c r="K134" s="67">
        <f t="shared" si="38"/>
        <v>2</v>
      </c>
      <c r="L134" s="661">
        <f t="shared" si="39"/>
        <v>421.91107618131451</v>
      </c>
      <c r="M134" s="661">
        <f>SUM(J134:J$141)/H134</f>
        <v>5045686.6669831332</v>
      </c>
      <c r="N134" s="661">
        <f t="shared" si="31"/>
        <v>123.67053592748715</v>
      </c>
      <c r="O134" s="661">
        <f t="shared" si="40"/>
        <v>0</v>
      </c>
      <c r="P134" s="661">
        <f t="shared" si="32"/>
        <v>123.67053592748715</v>
      </c>
      <c r="Q134" s="661"/>
      <c r="R134" s="661"/>
    </row>
    <row r="135" spans="2:18">
      <c r="B135" s="662">
        <f t="shared" si="33"/>
        <v>4</v>
      </c>
      <c r="C135" s="669">
        <f t="shared" si="34"/>
        <v>0</v>
      </c>
      <c r="D135" s="669">
        <f t="shared" si="27"/>
        <v>1000000</v>
      </c>
      <c r="E135" s="668">
        <f t="shared" si="28"/>
        <v>61.323999999999998</v>
      </c>
      <c r="F135" s="667">
        <f t="shared" si="35"/>
        <v>4.4999999999999998E-2</v>
      </c>
      <c r="G135" s="666">
        <f t="shared" si="36"/>
        <v>0.86113679488864481</v>
      </c>
      <c r="H135" s="67">
        <f t="shared" si="37"/>
        <v>0.87629660405490939</v>
      </c>
      <c r="I135" s="665">
        <f t="shared" si="29"/>
        <v>0</v>
      </c>
      <c r="J135" s="661">
        <f t="shared" si="30"/>
        <v>754611.24898764852</v>
      </c>
      <c r="K135" s="67">
        <f t="shared" si="38"/>
        <v>3</v>
      </c>
      <c r="L135" s="661">
        <f t="shared" si="39"/>
        <v>440.89707460947363</v>
      </c>
      <c r="M135" s="661">
        <f>SUM(J135:J$141)/H135</f>
        <v>4320827.7098196931</v>
      </c>
      <c r="N135" s="661">
        <f t="shared" si="31"/>
        <v>185.50151091886752</v>
      </c>
      <c r="O135" s="661">
        <f t="shared" si="40"/>
        <v>0</v>
      </c>
      <c r="P135" s="670">
        <f t="shared" si="32"/>
        <v>185.50151091886752</v>
      </c>
      <c r="Q135" s="661"/>
      <c r="R135" s="661"/>
    </row>
    <row r="136" spans="2:18">
      <c r="B136" s="662">
        <f t="shared" si="33"/>
        <v>5</v>
      </c>
      <c r="C136" s="669">
        <f t="shared" si="34"/>
        <v>0</v>
      </c>
      <c r="D136" s="669">
        <f t="shared" si="27"/>
        <v>1000000</v>
      </c>
      <c r="E136" s="668">
        <f t="shared" si="28"/>
        <v>68.563999999999993</v>
      </c>
      <c r="F136" s="667">
        <f t="shared" si="35"/>
        <v>4.4999999999999998E-2</v>
      </c>
      <c r="G136" s="666">
        <f t="shared" si="36"/>
        <v>0.80832844207889354</v>
      </c>
      <c r="H136" s="67">
        <f t="shared" si="37"/>
        <v>0.83856134359321477</v>
      </c>
      <c r="I136" s="665">
        <f t="shared" si="29"/>
        <v>0</v>
      </c>
      <c r="J136" s="661">
        <f t="shared" si="30"/>
        <v>677832.9844542871</v>
      </c>
      <c r="K136" s="67">
        <f t="shared" si="38"/>
        <v>4</v>
      </c>
      <c r="L136" s="661">
        <f t="shared" si="39"/>
        <v>460.73744296689989</v>
      </c>
      <c r="M136" s="661">
        <f>SUM(J136:J$141)/H136</f>
        <v>3615377.0061029447</v>
      </c>
      <c r="N136" s="661">
        <f t="shared" si="31"/>
        <v>247.03967243805633</v>
      </c>
      <c r="O136" s="661">
        <f t="shared" si="40"/>
        <v>0</v>
      </c>
      <c r="P136" s="661">
        <f t="shared" si="32"/>
        <v>247.03967243805633</v>
      </c>
      <c r="Q136" s="661"/>
      <c r="R136" s="661"/>
    </row>
    <row r="137" spans="2:18">
      <c r="B137" s="662">
        <f t="shared" si="33"/>
        <v>6</v>
      </c>
      <c r="C137" s="669">
        <f t="shared" si="34"/>
        <v>0</v>
      </c>
      <c r="D137" s="669">
        <f t="shared" si="27"/>
        <v>1000000</v>
      </c>
      <c r="E137" s="668">
        <f t="shared" si="28"/>
        <v>76.664000000000001</v>
      </c>
      <c r="F137" s="667">
        <f t="shared" si="35"/>
        <v>4.4999999999999998E-2</v>
      </c>
      <c r="G137" s="666">
        <f t="shared" si="36"/>
        <v>0.75290621077619635</v>
      </c>
      <c r="H137" s="67">
        <f t="shared" si="37"/>
        <v>0.802451046500684</v>
      </c>
      <c r="I137" s="665">
        <f t="shared" si="29"/>
        <v>0</v>
      </c>
      <c r="J137" s="661">
        <f t="shared" si="30"/>
        <v>604170.37675422325</v>
      </c>
      <c r="K137" s="67">
        <f t="shared" si="38"/>
        <v>5</v>
      </c>
      <c r="L137" s="661">
        <f t="shared" si="39"/>
        <v>481.47062790041036</v>
      </c>
      <c r="M137" s="661">
        <f>SUM(J137:J$141)/H137</f>
        <v>2933365.749405134</v>
      </c>
      <c r="N137" s="661">
        <f t="shared" si="31"/>
        <v>308.08519126810734</v>
      </c>
      <c r="O137" s="661">
        <f t="shared" si="40"/>
        <v>0</v>
      </c>
      <c r="P137" s="661">
        <f t="shared" si="32"/>
        <v>308.08519126810734</v>
      </c>
      <c r="Q137" s="661"/>
      <c r="R137" s="661"/>
    </row>
    <row r="138" spans="2:18">
      <c r="B138" s="662">
        <f t="shared" si="33"/>
        <v>7</v>
      </c>
      <c r="C138" s="669">
        <f t="shared" si="34"/>
        <v>0</v>
      </c>
      <c r="D138" s="669">
        <f t="shared" si="27"/>
        <v>1000000</v>
      </c>
      <c r="E138" s="668">
        <f t="shared" si="28"/>
        <v>85.852000000000004</v>
      </c>
      <c r="F138" s="667">
        <f t="shared" si="35"/>
        <v>4.4999999999999998E-2</v>
      </c>
      <c r="G138" s="666">
        <f t="shared" si="36"/>
        <v>0.6951854090332501</v>
      </c>
      <c r="H138" s="67">
        <f t="shared" si="37"/>
        <v>0.7678957382781666</v>
      </c>
      <c r="I138" s="665">
        <f t="shared" si="29"/>
        <v>0</v>
      </c>
      <c r="J138" s="661">
        <f t="shared" si="30"/>
        <v>533829.91290979681</v>
      </c>
      <c r="K138" s="67">
        <f t="shared" si="38"/>
        <v>6</v>
      </c>
      <c r="L138" s="661">
        <f t="shared" si="39"/>
        <v>503.13680615592881</v>
      </c>
      <c r="M138" s="661">
        <f>SUM(J138:J$141)/H138</f>
        <v>2278580.2178672394</v>
      </c>
      <c r="N138" s="661">
        <f t="shared" si="31"/>
        <v>368.45444475699401</v>
      </c>
      <c r="O138" s="661">
        <f t="shared" si="40"/>
        <v>0</v>
      </c>
      <c r="P138" s="661">
        <f t="shared" si="32"/>
        <v>368.45444475699401</v>
      </c>
      <c r="Q138" s="661"/>
      <c r="R138" s="661"/>
    </row>
    <row r="139" spans="2:18">
      <c r="B139" s="662">
        <f t="shared" si="33"/>
        <v>8</v>
      </c>
      <c r="C139" s="669">
        <f t="shared" si="34"/>
        <v>0</v>
      </c>
      <c r="D139" s="669">
        <f t="shared" si="27"/>
        <v>1000000</v>
      </c>
      <c r="E139" s="668">
        <f t="shared" si="28"/>
        <v>96.137</v>
      </c>
      <c r="F139" s="667">
        <f t="shared" si="35"/>
        <v>4.4999999999999998E-2</v>
      </c>
      <c r="G139" s="666">
        <f t="shared" si="36"/>
        <v>0.63550235129692745</v>
      </c>
      <c r="H139" s="67">
        <f t="shared" si="37"/>
        <v>0.73482845768245608</v>
      </c>
      <c r="I139" s="665">
        <f t="shared" si="29"/>
        <v>0</v>
      </c>
      <c r="J139" s="661">
        <f t="shared" si="30"/>
        <v>466985.21265709557</v>
      </c>
      <c r="K139" s="67">
        <f t="shared" si="38"/>
        <v>7</v>
      </c>
      <c r="L139" s="661">
        <f t="shared" si="39"/>
        <v>525.77796243294551</v>
      </c>
      <c r="M139" s="661">
        <f>SUM(J139:J$141)/H139</f>
        <v>1654647.5752315188</v>
      </c>
      <c r="N139" s="661">
        <f t="shared" si="31"/>
        <v>427.97502314306053</v>
      </c>
      <c r="O139" s="661">
        <f t="shared" si="40"/>
        <v>0</v>
      </c>
      <c r="P139" s="661">
        <f t="shared" si="32"/>
        <v>427.97502314306053</v>
      </c>
      <c r="Q139" s="661"/>
      <c r="R139" s="661"/>
    </row>
    <row r="140" spans="2:18">
      <c r="B140" s="662">
        <f t="shared" si="33"/>
        <v>9</v>
      </c>
      <c r="C140" s="669">
        <f t="shared" si="34"/>
        <v>0</v>
      </c>
      <c r="D140" s="669">
        <f t="shared" si="27"/>
        <v>1000000</v>
      </c>
      <c r="E140" s="668">
        <f t="shared" si="28"/>
        <v>107.468</v>
      </c>
      <c r="F140" s="667">
        <f t="shared" si="35"/>
        <v>4.4999999999999998E-2</v>
      </c>
      <c r="G140" s="666">
        <f t="shared" si="36"/>
        <v>0.57440706175029477</v>
      </c>
      <c r="H140" s="67">
        <f t="shared" si="37"/>
        <v>0.70318512696885749</v>
      </c>
      <c r="I140" s="665">
        <f t="shared" si="29"/>
        <v>0</v>
      </c>
      <c r="J140" s="661">
        <f t="shared" si="30"/>
        <v>403914.50264868938</v>
      </c>
      <c r="K140" s="67">
        <f t="shared" si="38"/>
        <v>8</v>
      </c>
      <c r="L140" s="661">
        <f t="shared" si="39"/>
        <v>549.43797074242798</v>
      </c>
      <c r="M140" s="661">
        <f>SUM(J140:J$141)/H140</f>
        <v>1065006.7590116481</v>
      </c>
      <c r="N140" s="661">
        <f t="shared" si="31"/>
        <v>486.48753165550687</v>
      </c>
      <c r="O140" s="661">
        <f t="shared" si="40"/>
        <v>0</v>
      </c>
      <c r="P140" s="661">
        <f t="shared" si="32"/>
        <v>486.48753165550687</v>
      </c>
      <c r="Q140" s="661"/>
      <c r="R140" s="661"/>
    </row>
    <row r="141" spans="2:18">
      <c r="B141" s="662">
        <f t="shared" si="33"/>
        <v>10</v>
      </c>
      <c r="C141" s="669">
        <v>600</v>
      </c>
      <c r="D141" s="669">
        <f t="shared" si="27"/>
        <v>1000000</v>
      </c>
      <c r="E141" s="668">
        <f t="shared" si="28"/>
        <v>119.742</v>
      </c>
      <c r="F141" s="667">
        <f t="shared" si="35"/>
        <v>4.4999999999999998E-2</v>
      </c>
      <c r="G141" s="666">
        <f t="shared" si="36"/>
        <v>0.51267668363811414</v>
      </c>
      <c r="H141" s="67">
        <f t="shared" si="37"/>
        <v>0.6729044277213948</v>
      </c>
      <c r="I141" s="665">
        <f t="shared" si="29"/>
        <v>386.35660921802577</v>
      </c>
      <c r="J141" s="661">
        <f t="shared" si="30"/>
        <v>344982.41040960775</v>
      </c>
      <c r="K141" s="67">
        <f t="shared" si="38"/>
        <v>9</v>
      </c>
      <c r="L141" s="661">
        <f t="shared" si="39"/>
        <v>574.16267942583715</v>
      </c>
      <c r="M141" s="661">
        <f>SUM(J141:J$141)/H141</f>
        <v>512676.68363811413</v>
      </c>
      <c r="N141" s="661">
        <f t="shared" si="31"/>
        <v>543.85937658614796</v>
      </c>
      <c r="O141" s="661">
        <f t="shared" si="40"/>
        <v>0</v>
      </c>
      <c r="P141" s="661">
        <f t="shared" si="32"/>
        <v>543.85937658614796</v>
      </c>
      <c r="Q141" s="661"/>
      <c r="R141" s="661"/>
    </row>
    <row r="142" spans="2:18">
      <c r="B142" s="662"/>
      <c r="C142" s="662"/>
      <c r="D142" s="662"/>
      <c r="E142" s="662"/>
      <c r="F142" s="662"/>
      <c r="G142" s="662"/>
      <c r="H142" s="664" t="s">
        <v>378</v>
      </c>
      <c r="I142" s="665">
        <f>SUM(I132:I141)</f>
        <v>386.35660921802577</v>
      </c>
      <c r="J142" s="661">
        <f>SUM(J132:J141)</f>
        <v>6536450.0418792004</v>
      </c>
      <c r="K142" s="67">
        <f t="shared" si="38"/>
        <v>10</v>
      </c>
      <c r="L142" s="661">
        <f t="shared" si="39"/>
        <v>599.99999999999977</v>
      </c>
      <c r="M142" s="661">
        <f>0</f>
        <v>0</v>
      </c>
      <c r="N142" s="661">
        <f t="shared" si="31"/>
        <v>599.99999999999977</v>
      </c>
      <c r="O142" s="661">
        <f t="shared" si="40"/>
        <v>600</v>
      </c>
      <c r="P142" s="661">
        <f t="shared" si="32"/>
        <v>0</v>
      </c>
    </row>
    <row r="143" spans="2:18">
      <c r="B143" s="662"/>
      <c r="C143" s="662"/>
      <c r="D143" s="662"/>
      <c r="E143" s="662"/>
      <c r="F143" s="662"/>
      <c r="G143" s="662"/>
      <c r="I143" s="664" t="s">
        <v>1188</v>
      </c>
      <c r="J143" s="663">
        <f>I142/J142</f>
        <v>5.9108018380409733E-5</v>
      </c>
      <c r="N143" s="661"/>
    </row>
    <row r="144" spans="2:18">
      <c r="B144" s="662"/>
      <c r="C144" s="662"/>
      <c r="D144" s="662"/>
      <c r="E144" s="662"/>
      <c r="F144" s="662"/>
      <c r="G144" s="662"/>
      <c r="N144" s="661"/>
    </row>
  </sheetData>
  <mergeCells count="4">
    <mergeCell ref="B24:B25"/>
    <mergeCell ref="C24:C25"/>
    <mergeCell ref="D24:D25"/>
    <mergeCell ref="E24:E25"/>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CAB03-B357-406C-9200-5374E3069471}">
  <dimension ref="A1:A12"/>
  <sheetViews>
    <sheetView workbookViewId="0"/>
  </sheetViews>
  <sheetFormatPr defaultColWidth="9.21875" defaultRowHeight="14.4"/>
  <cols>
    <col min="1" max="16384" width="9.21875" style="448"/>
  </cols>
  <sheetData>
    <row r="1" spans="1:1" s="493" customFormat="1" ht="17.399999999999999">
      <c r="A1" s="523" t="s">
        <v>1084</v>
      </c>
    </row>
    <row r="2" spans="1:1" s="493" customFormat="1" ht="15.6">
      <c r="A2" s="522" t="s">
        <v>1083</v>
      </c>
    </row>
    <row r="3" spans="1:1" s="493" customFormat="1" ht="15.6">
      <c r="A3" s="522" t="s">
        <v>1082</v>
      </c>
    </row>
    <row r="4" spans="1:1" s="493" customFormat="1"/>
    <row r="5" spans="1:1" s="493" customFormat="1" ht="15.6">
      <c r="A5" s="494" t="s">
        <v>1081</v>
      </c>
    </row>
    <row r="6" spans="1:1" s="493" customFormat="1" ht="15.6">
      <c r="A6" s="494"/>
    </row>
    <row r="7" spans="1:1" s="493" customFormat="1" ht="15.6">
      <c r="A7" s="521" t="s">
        <v>1080</v>
      </c>
    </row>
    <row r="8" spans="1:1" s="493" customFormat="1" ht="15.6">
      <c r="A8" s="521" t="s">
        <v>1079</v>
      </c>
    </row>
    <row r="9" spans="1:1" s="493" customFormat="1" ht="15.6">
      <c r="A9" s="521" t="s">
        <v>1078</v>
      </c>
    </row>
    <row r="10" spans="1:1" s="493" customFormat="1" ht="15.6">
      <c r="A10" s="494"/>
    </row>
    <row r="11" spans="1:1" s="493" customFormat="1" ht="15.6">
      <c r="A11" s="494" t="s">
        <v>1077</v>
      </c>
    </row>
    <row r="12" spans="1:1" ht="15.6">
      <c r="A12" s="492" t="s">
        <v>24</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F5E46-98B6-4C4C-90A5-FC60C1B5600B}">
  <dimension ref="A1:B46"/>
  <sheetViews>
    <sheetView workbookViewId="0"/>
  </sheetViews>
  <sheetFormatPr defaultColWidth="9.21875" defaultRowHeight="14.4"/>
  <cols>
    <col min="1" max="1" width="13.44140625" style="448" customWidth="1"/>
    <col min="2" max="2" width="18.44140625" style="448" customWidth="1"/>
    <col min="3" max="16384" width="9.21875" style="448"/>
  </cols>
  <sheetData>
    <row r="1" spans="1:1" s="493" customFormat="1" ht="17.399999999999999">
      <c r="A1" s="523" t="s">
        <v>1101</v>
      </c>
    </row>
    <row r="2" spans="1:1" s="493" customFormat="1" ht="15.6">
      <c r="A2" s="522" t="s">
        <v>291</v>
      </c>
    </row>
    <row r="3" spans="1:1" s="493" customFormat="1" ht="15.6">
      <c r="A3" s="522" t="s">
        <v>576</v>
      </c>
    </row>
    <row r="4" spans="1:1" s="493" customFormat="1"/>
    <row r="5" spans="1:1" s="493" customFormat="1" ht="15.6">
      <c r="A5" s="536" t="s">
        <v>1100</v>
      </c>
    </row>
    <row r="6" spans="1:1" s="493" customFormat="1" ht="15.6">
      <c r="A6" s="494"/>
    </row>
    <row r="7" spans="1:1" s="493" customFormat="1" ht="15.6">
      <c r="A7" s="540" t="s">
        <v>1099</v>
      </c>
    </row>
    <row r="8" spans="1:1" s="493" customFormat="1" ht="15.6">
      <c r="A8" s="540" t="s">
        <v>1098</v>
      </c>
    </row>
    <row r="9" spans="1:1" s="493" customFormat="1" ht="15.6">
      <c r="A9" s="540" t="s">
        <v>1097</v>
      </c>
    </row>
    <row r="10" spans="1:1" s="493" customFormat="1" ht="15.6">
      <c r="A10" s="540" t="s">
        <v>1096</v>
      </c>
    </row>
    <row r="11" spans="1:1" s="493" customFormat="1" ht="15.6">
      <c r="A11" s="540" t="s">
        <v>1095</v>
      </c>
    </row>
    <row r="12" spans="1:1" s="493" customFormat="1" ht="15.6">
      <c r="A12" s="540" t="s">
        <v>1094</v>
      </c>
    </row>
    <row r="13" spans="1:1" s="493" customFormat="1" ht="15.6">
      <c r="A13" s="540" t="s">
        <v>1093</v>
      </c>
    </row>
    <row r="14" spans="1:1" s="493" customFormat="1" ht="15.6">
      <c r="A14" s="540" t="s">
        <v>1092</v>
      </c>
    </row>
    <row r="15" spans="1:1" s="493" customFormat="1" ht="15.6">
      <c r="A15" s="540" t="s">
        <v>1091</v>
      </c>
    </row>
    <row r="16" spans="1:1" s="493" customFormat="1" ht="16.2" thickBot="1">
      <c r="A16" s="543"/>
    </row>
    <row r="17" spans="1:2" s="493" customFormat="1" ht="37.5" customHeight="1" thickBot="1">
      <c r="A17" s="563" t="s">
        <v>374</v>
      </c>
      <c r="B17" s="562" t="s">
        <v>1090</v>
      </c>
    </row>
    <row r="18" spans="1:2" s="493" customFormat="1" ht="16.2" thickBot="1">
      <c r="A18" s="561">
        <v>1</v>
      </c>
      <c r="B18" s="560">
        <v>0.09</v>
      </c>
    </row>
    <row r="19" spans="1:2" s="493" customFormat="1" ht="16.2" thickBot="1">
      <c r="A19" s="561">
        <v>2</v>
      </c>
      <c r="B19" s="560">
        <v>0.08</v>
      </c>
    </row>
    <row r="20" spans="1:2" s="493" customFormat="1" ht="16.2" thickBot="1">
      <c r="A20" s="561">
        <v>3</v>
      </c>
      <c r="B20" s="560">
        <v>7.0000000000000007E-2</v>
      </c>
    </row>
    <row r="21" spans="1:2" s="493" customFormat="1" ht="16.2" thickBot="1">
      <c r="A21" s="561">
        <v>4</v>
      </c>
      <c r="B21" s="560">
        <v>0.06</v>
      </c>
    </row>
    <row r="22" spans="1:2" s="493" customFormat="1" ht="16.2" thickBot="1">
      <c r="A22" s="561">
        <v>5</v>
      </c>
      <c r="B22" s="560">
        <v>0.05</v>
      </c>
    </row>
    <row r="23" spans="1:2" s="493" customFormat="1" ht="16.2" thickBot="1">
      <c r="A23" s="561" t="s">
        <v>1089</v>
      </c>
      <c r="B23" s="560">
        <v>0</v>
      </c>
    </row>
    <row r="24" spans="1:2" s="493" customFormat="1" ht="15.6">
      <c r="A24" s="494"/>
    </row>
    <row r="25" spans="1:2" s="493" customFormat="1"/>
    <row r="26" spans="1:2" s="493" customFormat="1" ht="15.6">
      <c r="A26" s="494" t="s">
        <v>1088</v>
      </c>
    </row>
    <row r="27" spans="1:2" s="493" customFormat="1" ht="15.6">
      <c r="A27" s="559" t="s">
        <v>1087</v>
      </c>
      <c r="B27" s="559" t="s">
        <v>1086</v>
      </c>
    </row>
    <row r="28" spans="1:2" s="493" customFormat="1" ht="15.6">
      <c r="A28" s="557">
        <v>45</v>
      </c>
      <c r="B28" s="557">
        <v>8.9999999999999998E-4</v>
      </c>
    </row>
    <row r="29" spans="1:2" s="493" customFormat="1" ht="15.6">
      <c r="A29" s="557">
        <v>46</v>
      </c>
      <c r="B29" s="558">
        <v>1E-3</v>
      </c>
    </row>
    <row r="30" spans="1:2" s="493" customFormat="1" ht="15.6">
      <c r="A30" s="557">
        <v>47</v>
      </c>
      <c r="B30" s="557">
        <v>1.2000000000000001E-3</v>
      </c>
    </row>
    <row r="31" spans="1:2" s="493" customFormat="1" ht="15.6">
      <c r="A31" s="557">
        <v>48</v>
      </c>
      <c r="B31" s="557">
        <v>1.4000000000000002E-3</v>
      </c>
    </row>
    <row r="32" spans="1:2" s="493" customFormat="1" ht="15.6">
      <c r="A32" s="557">
        <v>49</v>
      </c>
      <c r="B32" s="557">
        <v>1.6000000000000003E-3</v>
      </c>
    </row>
    <row r="33" spans="1:2" s="493" customFormat="1" ht="15.6">
      <c r="A33" s="557">
        <v>50</v>
      </c>
      <c r="B33" s="557">
        <v>1.8000000000000004E-3</v>
      </c>
    </row>
    <row r="34" spans="1:2" s="493" customFormat="1" ht="15.6">
      <c r="A34" s="557">
        <v>51</v>
      </c>
      <c r="B34" s="557">
        <v>2.0000000000000005E-3</v>
      </c>
    </row>
    <row r="35" spans="1:2" s="493" customFormat="1" ht="15.6">
      <c r="A35" s="557">
        <v>52</v>
      </c>
      <c r="B35" s="557">
        <v>2.2000000000000006E-3</v>
      </c>
    </row>
    <row r="36" spans="1:2" s="493" customFormat="1" ht="15.6">
      <c r="A36" s="557">
        <v>53</v>
      </c>
      <c r="B36" s="557">
        <v>2.4000000000000007E-3</v>
      </c>
    </row>
    <row r="37" spans="1:2" s="493" customFormat="1" ht="15.6">
      <c r="A37" s="557">
        <v>54</v>
      </c>
      <c r="B37" s="557">
        <v>2.6000000000000007E-3</v>
      </c>
    </row>
    <row r="38" spans="1:2" s="493" customFormat="1" ht="15.6">
      <c r="A38" s="557">
        <v>55</v>
      </c>
      <c r="B38" s="557">
        <v>2.8000000000000008E-3</v>
      </c>
    </row>
    <row r="39" spans="1:2" s="493" customFormat="1" ht="15.6">
      <c r="A39" s="557">
        <v>56</v>
      </c>
      <c r="B39" s="557">
        <v>3.0000000000000009E-3</v>
      </c>
    </row>
    <row r="40" spans="1:2" s="493" customFormat="1" ht="15.6">
      <c r="A40" s="557">
        <v>57</v>
      </c>
      <c r="B40" s="557">
        <v>3.200000000000001E-3</v>
      </c>
    </row>
    <row r="41" spans="1:2" s="493" customFormat="1" ht="15.6">
      <c r="A41" s="557">
        <v>58</v>
      </c>
      <c r="B41" s="557">
        <v>3.4000000000000011E-3</v>
      </c>
    </row>
    <row r="42" spans="1:2" s="493" customFormat="1" ht="15.6">
      <c r="A42" s="557">
        <v>59</v>
      </c>
      <c r="B42" s="557">
        <v>3.6000000000000012E-3</v>
      </c>
    </row>
    <row r="43" spans="1:2" s="493" customFormat="1" ht="15.6">
      <c r="A43" s="557">
        <v>60</v>
      </c>
      <c r="B43" s="557">
        <v>3.8000000000000013E-3</v>
      </c>
    </row>
    <row r="44" spans="1:2" s="493" customFormat="1"/>
    <row r="45" spans="1:2" s="493" customFormat="1" ht="15.6">
      <c r="A45" s="494" t="s">
        <v>1085</v>
      </c>
    </row>
    <row r="46" spans="1:2" ht="15.6">
      <c r="A46" s="492" t="s">
        <v>24</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6E51A-9552-4C15-84D8-F764BF58AB4B}">
  <sheetPr>
    <tabColor theme="5" tint="0.79998168889431442"/>
  </sheetPr>
  <dimension ref="B2:L35"/>
  <sheetViews>
    <sheetView workbookViewId="0">
      <selection activeCell="J35" sqref="J35"/>
    </sheetView>
  </sheetViews>
  <sheetFormatPr defaultColWidth="8.77734375" defaultRowHeight="14.4"/>
  <cols>
    <col min="1" max="1" width="8.77734375" style="67"/>
    <col min="2" max="2" width="22" style="67" bestFit="1" customWidth="1"/>
    <col min="3" max="3" width="18" style="67" bestFit="1" customWidth="1"/>
    <col min="4" max="4" width="12.77734375" style="67" bestFit="1" customWidth="1"/>
    <col min="5" max="5" width="8.77734375" style="67"/>
    <col min="6" max="6" width="19" style="67" bestFit="1" customWidth="1"/>
    <col min="7" max="8" width="8.77734375" style="67" customWidth="1"/>
    <col min="9" max="9" width="12.44140625" style="67" bestFit="1" customWidth="1"/>
    <col min="10" max="10" width="15.21875" style="67" bestFit="1" customWidth="1"/>
    <col min="11" max="11" width="18.5546875" style="67" bestFit="1" customWidth="1"/>
    <col min="12" max="12" width="22.77734375" style="67" bestFit="1" customWidth="1"/>
    <col min="13" max="16384" width="8.77734375" style="67"/>
  </cols>
  <sheetData>
    <row r="2" spans="2:3">
      <c r="B2" s="717" t="s">
        <v>1016</v>
      </c>
      <c r="C2" s="725">
        <v>0.03</v>
      </c>
    </row>
    <row r="3" spans="2:3">
      <c r="B3" s="717" t="s">
        <v>231</v>
      </c>
      <c r="C3" s="725">
        <v>3.2500000000000001E-2</v>
      </c>
    </row>
    <row r="5" spans="2:3">
      <c r="B5" s="724" t="s">
        <v>1087</v>
      </c>
      <c r="C5" s="724" t="s">
        <v>1086</v>
      </c>
    </row>
    <row r="6" spans="2:3">
      <c r="B6" s="724">
        <v>45</v>
      </c>
      <c r="C6" s="724">
        <v>8.9999999999999998E-4</v>
      </c>
    </row>
    <row r="7" spans="2:3">
      <c r="B7" s="724">
        <v>46</v>
      </c>
      <c r="C7" s="724">
        <v>1E-3</v>
      </c>
    </row>
    <row r="8" spans="2:3">
      <c r="B8" s="724">
        <v>47</v>
      </c>
      <c r="C8" s="724">
        <v>1.2000000000000001E-3</v>
      </c>
    </row>
    <row r="9" spans="2:3">
      <c r="B9" s="724">
        <v>48</v>
      </c>
      <c r="C9" s="724">
        <v>1.4000000000000002E-3</v>
      </c>
    </row>
    <row r="10" spans="2:3">
      <c r="B10" s="724">
        <v>49</v>
      </c>
      <c r="C10" s="724">
        <v>1.6000000000000003E-3</v>
      </c>
    </row>
    <row r="11" spans="2:3">
      <c r="B11" s="724">
        <v>50</v>
      </c>
      <c r="C11" s="724">
        <v>1.8000000000000004E-3</v>
      </c>
    </row>
    <row r="12" spans="2:3">
      <c r="B12" s="724">
        <v>51</v>
      </c>
      <c r="C12" s="724">
        <v>2.0000000000000005E-3</v>
      </c>
    </row>
    <row r="13" spans="2:3">
      <c r="B13" s="724">
        <v>52</v>
      </c>
      <c r="C13" s="724">
        <v>2.2000000000000006E-3</v>
      </c>
    </row>
    <row r="14" spans="2:3">
      <c r="B14" s="724">
        <v>53</v>
      </c>
      <c r="C14" s="724">
        <v>2.4000000000000007E-3</v>
      </c>
    </row>
    <row r="15" spans="2:3">
      <c r="B15" s="724">
        <v>54</v>
      </c>
      <c r="C15" s="724">
        <v>2.6000000000000007E-3</v>
      </c>
    </row>
    <row r="16" spans="2:3">
      <c r="B16" s="724">
        <v>55</v>
      </c>
      <c r="C16" s="724">
        <v>2.8000000000000008E-3</v>
      </c>
    </row>
    <row r="17" spans="2:12">
      <c r="B17" s="724">
        <v>56</v>
      </c>
      <c r="C17" s="724">
        <v>3.0000000000000009E-3</v>
      </c>
    </row>
    <row r="18" spans="2:12">
      <c r="B18" s="724">
        <v>57</v>
      </c>
      <c r="C18" s="724">
        <v>3.200000000000001E-3</v>
      </c>
    </row>
    <row r="19" spans="2:12">
      <c r="B19" s="724">
        <v>58</v>
      </c>
      <c r="C19" s="724">
        <v>3.4000000000000011E-3</v>
      </c>
    </row>
    <row r="20" spans="2:12">
      <c r="B20" s="724">
        <v>59</v>
      </c>
      <c r="C20" s="724">
        <v>3.6000000000000012E-3</v>
      </c>
    </row>
    <row r="21" spans="2:12">
      <c r="B21" s="724">
        <v>60</v>
      </c>
      <c r="C21" s="724">
        <v>3.8000000000000013E-3</v>
      </c>
    </row>
    <row r="23" spans="2:12">
      <c r="B23" s="717" t="s">
        <v>1291</v>
      </c>
      <c r="C23" s="717" t="s">
        <v>890</v>
      </c>
      <c r="D23" s="717" t="s">
        <v>816</v>
      </c>
      <c r="E23" s="717" t="s">
        <v>1290</v>
      </c>
      <c r="F23" s="717" t="s">
        <v>530</v>
      </c>
      <c r="G23" s="717" t="s">
        <v>1289</v>
      </c>
      <c r="H23" s="717" t="s">
        <v>1288</v>
      </c>
      <c r="I23" s="717" t="s">
        <v>1164</v>
      </c>
      <c r="J23" s="717" t="s">
        <v>1287</v>
      </c>
      <c r="K23" s="717" t="s">
        <v>1286</v>
      </c>
      <c r="L23" s="717" t="s">
        <v>1285</v>
      </c>
    </row>
    <row r="24" spans="2:12">
      <c r="B24" s="723">
        <v>44377</v>
      </c>
      <c r="C24" s="721">
        <v>1</v>
      </c>
      <c r="D24" s="722">
        <v>103000</v>
      </c>
      <c r="E24" s="719">
        <v>0.09</v>
      </c>
      <c r="F24" s="680">
        <f t="shared" ref="F24:F33" si="0">D24*(1-E24)</f>
        <v>93730</v>
      </c>
      <c r="G24" s="721">
        <v>0</v>
      </c>
      <c r="H24" s="721">
        <v>1</v>
      </c>
      <c r="I24" s="721">
        <v>1</v>
      </c>
      <c r="K24" s="680">
        <f t="shared" ref="K24:K33" si="1">F24*H24*I24</f>
        <v>93730</v>
      </c>
      <c r="L24" s="680">
        <f>K24+SUM($J$24:J24)</f>
        <v>93730</v>
      </c>
    </row>
    <row r="25" spans="2:12">
      <c r="B25" s="720">
        <f t="shared" ref="B25:B33" si="2">EDATE(B24,12)</f>
        <v>44742</v>
      </c>
      <c r="C25" s="67">
        <f t="shared" ref="C25:C33" si="3">C24+1</f>
        <v>2</v>
      </c>
      <c r="D25" s="680">
        <f t="shared" ref="D25:D33" si="4">D24*(1+$C$2)</f>
        <v>106090</v>
      </c>
      <c r="E25" s="719">
        <v>0.08</v>
      </c>
      <c r="F25" s="680">
        <f t="shared" si="0"/>
        <v>97602.8</v>
      </c>
      <c r="G25" s="718">
        <f t="shared" ref="G25:G33" si="5">1-(1-C7)^12</f>
        <v>1.1934219505790988E-2</v>
      </c>
      <c r="H25" s="718">
        <f t="shared" ref="H25:H33" si="6">H24*(1-G25)</f>
        <v>0.98806578049420901</v>
      </c>
      <c r="I25" s="718">
        <f t="shared" ref="I25:I33" si="7">I24/(1+$C$3)</f>
        <v>0.96852300242130751</v>
      </c>
      <c r="J25" s="680">
        <f t="shared" ref="J25:J33" si="8">D25*H24*G25*I25</f>
        <v>1226.2482783238411</v>
      </c>
      <c r="K25" s="680">
        <f t="shared" si="1"/>
        <v>93402.408484668456</v>
      </c>
      <c r="L25" s="680">
        <f>K25+SUM($J$24:J25)</f>
        <v>94628.656762992294</v>
      </c>
    </row>
    <row r="26" spans="2:12">
      <c r="B26" s="720">
        <f t="shared" si="2"/>
        <v>45107</v>
      </c>
      <c r="C26" s="67">
        <f t="shared" si="3"/>
        <v>3</v>
      </c>
      <c r="D26" s="680">
        <f t="shared" si="4"/>
        <v>109272.7</v>
      </c>
      <c r="E26" s="719">
        <v>7.0000000000000007E-2</v>
      </c>
      <c r="F26" s="680">
        <f t="shared" si="0"/>
        <v>101623.61099999999</v>
      </c>
      <c r="G26" s="718">
        <f t="shared" si="5"/>
        <v>1.4305339135535777E-2</v>
      </c>
      <c r="H26" s="718">
        <f t="shared" si="6"/>
        <v>0.97393116441602146</v>
      </c>
      <c r="I26" s="718">
        <f t="shared" si="7"/>
        <v>0.93803680621918406</v>
      </c>
      <c r="J26" s="680">
        <f t="shared" si="8"/>
        <v>1448.8237954863646</v>
      </c>
      <c r="K26" s="680">
        <f t="shared" si="1"/>
        <v>92841.631755726587</v>
      </c>
      <c r="L26" s="680">
        <f>K26+SUM($J$24:J26)</f>
        <v>95516.703829536797</v>
      </c>
    </row>
    <row r="27" spans="2:12">
      <c r="B27" s="720">
        <f t="shared" si="2"/>
        <v>45473</v>
      </c>
      <c r="C27" s="67">
        <f t="shared" si="3"/>
        <v>4</v>
      </c>
      <c r="D27" s="680">
        <f t="shared" si="4"/>
        <v>112550.88099999999</v>
      </c>
      <c r="E27" s="719">
        <v>0.06</v>
      </c>
      <c r="F27" s="680">
        <f t="shared" si="0"/>
        <v>105797.82813999998</v>
      </c>
      <c r="G27" s="718">
        <f t="shared" si="5"/>
        <v>1.667124178266044E-2</v>
      </c>
      <c r="H27" s="718">
        <f t="shared" si="6"/>
        <v>0.95769452249437392</v>
      </c>
      <c r="I27" s="718">
        <f t="shared" si="7"/>
        <v>0.90851022394109837</v>
      </c>
      <c r="J27" s="680">
        <f t="shared" si="8"/>
        <v>1660.2555122094684</v>
      </c>
      <c r="K27" s="680">
        <f t="shared" si="1"/>
        <v>92052.073365758886</v>
      </c>
      <c r="L27" s="680">
        <f>K27+SUM($J$24:J27)</f>
        <v>96387.40095177856</v>
      </c>
    </row>
    <row r="28" spans="2:12">
      <c r="B28" s="720">
        <f t="shared" si="2"/>
        <v>45838</v>
      </c>
      <c r="C28" s="67">
        <f t="shared" si="3"/>
        <v>5</v>
      </c>
      <c r="D28" s="680">
        <f t="shared" si="4"/>
        <v>115927.40742999999</v>
      </c>
      <c r="E28" s="719">
        <v>0.05</v>
      </c>
      <c r="F28" s="680">
        <f t="shared" si="0"/>
        <v>110131.03705849999</v>
      </c>
      <c r="G28" s="718">
        <f t="shared" si="5"/>
        <v>1.9031937884257721E-2</v>
      </c>
      <c r="H28" s="718">
        <f t="shared" si="6"/>
        <v>0.93946773983016718</v>
      </c>
      <c r="I28" s="718">
        <f t="shared" si="7"/>
        <v>0.87991304982188712</v>
      </c>
      <c r="J28" s="680">
        <f t="shared" si="8"/>
        <v>1859.2418965397821</v>
      </c>
      <c r="K28" s="680">
        <f t="shared" si="1"/>
        <v>91039.81343242772</v>
      </c>
      <c r="L28" s="680">
        <f>K28+SUM($J$24:J28)</f>
        <v>97234.382914987174</v>
      </c>
    </row>
    <row r="29" spans="2:12">
      <c r="B29" s="720">
        <f t="shared" si="2"/>
        <v>46203</v>
      </c>
      <c r="C29" s="67">
        <f t="shared" si="3"/>
        <v>6</v>
      </c>
      <c r="D29" s="680">
        <f t="shared" si="4"/>
        <v>119405.2296529</v>
      </c>
      <c r="E29" s="719">
        <v>0</v>
      </c>
      <c r="F29" s="680">
        <f t="shared" si="0"/>
        <v>119405.2296529</v>
      </c>
      <c r="G29" s="718">
        <f t="shared" si="5"/>
        <v>2.1387437858622627E-2</v>
      </c>
      <c r="H29" s="718">
        <f t="shared" si="6"/>
        <v>0.91937493192436881</v>
      </c>
      <c r="I29" s="718">
        <f t="shared" si="7"/>
        <v>0.85221602888318371</v>
      </c>
      <c r="J29" s="680">
        <f t="shared" si="8"/>
        <v>2044.6250572397555</v>
      </c>
      <c r="K29" s="680">
        <f t="shared" si="1"/>
        <v>93554.720257301407</v>
      </c>
      <c r="L29" s="680">
        <f>K29+SUM($J$24:J29)</f>
        <v>101793.91479710062</v>
      </c>
    </row>
    <row r="30" spans="2:12">
      <c r="B30" s="720">
        <f t="shared" si="2"/>
        <v>46568</v>
      </c>
      <c r="C30" s="67">
        <f t="shared" si="3"/>
        <v>7</v>
      </c>
      <c r="D30" s="680">
        <f t="shared" si="4"/>
        <v>122987.386542487</v>
      </c>
      <c r="E30" s="719">
        <v>0</v>
      </c>
      <c r="F30" s="680">
        <f t="shared" si="0"/>
        <v>122987.386542487</v>
      </c>
      <c r="G30" s="718">
        <f t="shared" si="5"/>
        <v>2.3737752105284837E-2</v>
      </c>
      <c r="H30" s="718">
        <f t="shared" si="6"/>
        <v>0.89755103769853506</v>
      </c>
      <c r="I30" s="718">
        <f t="shared" si="7"/>
        <v>0.82539082700550481</v>
      </c>
      <c r="J30" s="680">
        <f t="shared" si="8"/>
        <v>2215.4015694716741</v>
      </c>
      <c r="K30" s="680">
        <f t="shared" si="1"/>
        <v>91112.793941444033</v>
      </c>
      <c r="L30" s="680">
        <f>K30+SUM($J$24:J30)</f>
        <v>101567.39005071492</v>
      </c>
    </row>
    <row r="31" spans="2:12">
      <c r="B31" s="720">
        <f t="shared" si="2"/>
        <v>46934</v>
      </c>
      <c r="C31" s="67">
        <f t="shared" si="3"/>
        <v>8</v>
      </c>
      <c r="D31" s="680">
        <f t="shared" si="4"/>
        <v>126677.00813876161</v>
      </c>
      <c r="E31" s="719">
        <v>0</v>
      </c>
      <c r="F31" s="680">
        <f t="shared" si="0"/>
        <v>126677.00813876161</v>
      </c>
      <c r="G31" s="718">
        <f t="shared" si="5"/>
        <v>2.6082891005040021E-2</v>
      </c>
      <c r="H31" s="718">
        <f t="shared" si="6"/>
        <v>0.87414031181078355</v>
      </c>
      <c r="I31" s="718">
        <f t="shared" si="7"/>
        <v>0.79941000194237755</v>
      </c>
      <c r="J31" s="680">
        <f t="shared" si="8"/>
        <v>2370.7308723927708</v>
      </c>
      <c r="K31" s="680">
        <f t="shared" si="1"/>
        <v>88521.45097718334</v>
      </c>
      <c r="L31" s="680">
        <f>K31+SUM($J$24:J31)</f>
        <v>101346.777958847</v>
      </c>
    </row>
    <row r="32" spans="2:12">
      <c r="B32" s="720">
        <f t="shared" si="2"/>
        <v>47299</v>
      </c>
      <c r="C32" s="67">
        <f t="shared" si="3"/>
        <v>9</v>
      </c>
      <c r="D32" s="680">
        <f t="shared" si="4"/>
        <v>130477.31838292447</v>
      </c>
      <c r="E32" s="719">
        <v>0</v>
      </c>
      <c r="F32" s="680">
        <f t="shared" si="0"/>
        <v>130477.31838292447</v>
      </c>
      <c r="G32" s="718">
        <f t="shared" si="5"/>
        <v>2.8422864919975588E-2</v>
      </c>
      <c r="H32" s="718">
        <f t="shared" si="6"/>
        <v>0.84929473980708037</v>
      </c>
      <c r="I32" s="718">
        <f t="shared" si="7"/>
        <v>0.77424697524685482</v>
      </c>
      <c r="J32" s="680">
        <f t="shared" si="8"/>
        <v>2509.9411534664073</v>
      </c>
      <c r="K32" s="680">
        <f t="shared" si="1"/>
        <v>85797.17217001917</v>
      </c>
      <c r="L32" s="680">
        <f>K32+SUM($J$24:J32)</f>
        <v>101132.44030514924</v>
      </c>
    </row>
    <row r="33" spans="2:12">
      <c r="B33" s="720">
        <f t="shared" si="2"/>
        <v>47664</v>
      </c>
      <c r="C33" s="67">
        <f t="shared" si="3"/>
        <v>10</v>
      </c>
      <c r="D33" s="680">
        <f t="shared" si="4"/>
        <v>134391.6379344122</v>
      </c>
      <c r="E33" s="719">
        <v>0</v>
      </c>
      <c r="F33" s="680">
        <f t="shared" si="0"/>
        <v>134391.6379344122</v>
      </c>
      <c r="G33" s="718">
        <f t="shared" si="5"/>
        <v>3.0757684193504331E-2</v>
      </c>
      <c r="H33" s="718">
        <f t="shared" si="6"/>
        <v>0.82317240041288975</v>
      </c>
      <c r="I33" s="718">
        <f t="shared" si="7"/>
        <v>0.7498760050816996</v>
      </c>
      <c r="J33" s="680">
        <f t="shared" si="8"/>
        <v>2632.5326838646042</v>
      </c>
      <c r="K33" s="680">
        <f t="shared" si="1"/>
        <v>82956.898149181157</v>
      </c>
      <c r="L33" s="680">
        <f>K33+SUM($J$24:J33)</f>
        <v>100924.69896817583</v>
      </c>
    </row>
    <row r="35" spans="2:12">
      <c r="B35" s="717" t="s">
        <v>1284</v>
      </c>
      <c r="C35" s="680">
        <f>MAX(L24:L33)</f>
        <v>101793.91479710062</v>
      </c>
    </row>
  </sheetData>
  <pageMargins left="0.7" right="0.7" top="0.75" bottom="0.75" header="0.3" footer="0.3"/>
  <pageSetup paperSize="9" orientation="portrait" r:id="rId1"/>
  <headerFooter>
    <oddFooter>&amp;C_x000D_&amp;1#&amp;"Calibri"&amp;10&amp;K000000 CONFIDENTIAL</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4A8B2-C2E4-4340-B996-578164A28F39}">
  <dimension ref="A1:C27"/>
  <sheetViews>
    <sheetView topLeftCell="A8" workbookViewId="0">
      <selection activeCell="L24" sqref="L24"/>
    </sheetView>
  </sheetViews>
  <sheetFormatPr defaultColWidth="9.21875" defaultRowHeight="14.4"/>
  <cols>
    <col min="1" max="1" width="23.5546875" style="448" customWidth="1"/>
    <col min="2" max="2" width="15.5546875" style="448" customWidth="1"/>
    <col min="3" max="16384" width="9.21875" style="448"/>
  </cols>
  <sheetData>
    <row r="1" spans="1:3" s="493" customFormat="1" ht="17.399999999999999">
      <c r="A1" s="523" t="s">
        <v>1114</v>
      </c>
    </row>
    <row r="2" spans="1:3" s="493" customFormat="1" ht="15.6">
      <c r="A2" s="522" t="s">
        <v>467</v>
      </c>
    </row>
    <row r="3" spans="1:3" s="493" customFormat="1" ht="15.6">
      <c r="A3" s="522" t="s">
        <v>1113</v>
      </c>
    </row>
    <row r="4" spans="1:3" s="493" customFormat="1"/>
    <row r="5" spans="1:3" s="493" customFormat="1" ht="15.6">
      <c r="A5" s="494" t="s">
        <v>1112</v>
      </c>
    </row>
    <row r="6" spans="1:3" s="493" customFormat="1" ht="16.2" thickBot="1">
      <c r="A6" s="494"/>
    </row>
    <row r="7" spans="1:3" s="493" customFormat="1" ht="16.2" thickBot="1">
      <c r="A7" s="535" t="s">
        <v>1111</v>
      </c>
      <c r="B7" s="566" t="s">
        <v>1110</v>
      </c>
      <c r="C7" s="564"/>
    </row>
    <row r="8" spans="1:3" s="493" customFormat="1" ht="16.2" thickBot="1">
      <c r="A8" s="533" t="s">
        <v>1109</v>
      </c>
      <c r="B8" s="565">
        <v>150</v>
      </c>
      <c r="C8" s="564"/>
    </row>
    <row r="9" spans="1:3" s="493" customFormat="1" ht="31.8" thickBot="1">
      <c r="A9" s="533" t="s">
        <v>1108</v>
      </c>
      <c r="B9" s="565">
        <v>25</v>
      </c>
      <c r="C9" s="564"/>
    </row>
    <row r="10" spans="1:3" s="493" customFormat="1" ht="16.2" thickBot="1">
      <c r="A10" s="533" t="s">
        <v>1107</v>
      </c>
      <c r="B10" s="565">
        <v>80</v>
      </c>
      <c r="C10" s="564"/>
    </row>
    <row r="11" spans="1:3" s="493" customFormat="1" ht="31.8" thickBot="1">
      <c r="A11" s="533" t="s">
        <v>1106</v>
      </c>
      <c r="B11" s="565">
        <v>120</v>
      </c>
      <c r="C11" s="564"/>
    </row>
    <row r="12" spans="1:3" s="493" customFormat="1" ht="16.2" thickBot="1">
      <c r="A12" s="533" t="s">
        <v>1105</v>
      </c>
      <c r="B12" s="565">
        <v>200</v>
      </c>
      <c r="C12" s="564"/>
    </row>
    <row r="13" spans="1:3" s="493" customFormat="1" ht="16.2" thickBot="1">
      <c r="A13" s="533" t="s">
        <v>1104</v>
      </c>
      <c r="B13" s="565">
        <v>40</v>
      </c>
      <c r="C13" s="564"/>
    </row>
    <row r="14" spans="1:3" s="493" customFormat="1" ht="15.6">
      <c r="A14" s="494"/>
    </row>
    <row r="15" spans="1:3" s="493" customFormat="1" ht="15.6">
      <c r="A15" s="494" t="s">
        <v>1103</v>
      </c>
    </row>
    <row r="16" spans="1:3" s="493" customFormat="1" ht="15.6">
      <c r="A16" s="494"/>
    </row>
    <row r="17" spans="1:1" s="493" customFormat="1" ht="15.6">
      <c r="A17" s="494" t="s">
        <v>1102</v>
      </c>
    </row>
    <row r="18" spans="1:1" ht="15.6">
      <c r="A18" s="492" t="s">
        <v>24</v>
      </c>
    </row>
    <row r="19" spans="1:1" ht="15.6">
      <c r="A19" s="492"/>
    </row>
    <row r="20" spans="1:1" ht="15.6">
      <c r="A20" s="492"/>
    </row>
    <row r="21" spans="1:1" ht="15.6">
      <c r="A21" s="492"/>
    </row>
    <row r="22" spans="1:1" ht="15.6">
      <c r="A22" s="492"/>
    </row>
    <row r="23" spans="1:1" ht="15.6">
      <c r="A23" s="492"/>
    </row>
    <row r="24" spans="1:1" ht="15.6">
      <c r="A24" s="492"/>
    </row>
    <row r="25" spans="1:1" s="727" customFormat="1" ht="15.6">
      <c r="A25" s="726" t="s">
        <v>1292</v>
      </c>
    </row>
    <row r="26" spans="1:1" s="729" customFormat="1" ht="15.6">
      <c r="A26" s="728" t="s">
        <v>1293</v>
      </c>
    </row>
    <row r="27" spans="1:1" s="727" customFormat="1" ht="15.6">
      <c r="A27" s="726" t="s">
        <v>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23917-92AA-4FA1-9DC6-ED6F7A6084D7}">
  <dimension ref="A1:B103"/>
  <sheetViews>
    <sheetView workbookViewId="0">
      <selection activeCell="C1" sqref="C1"/>
    </sheetView>
  </sheetViews>
  <sheetFormatPr defaultColWidth="9.21875" defaultRowHeight="14.4"/>
  <cols>
    <col min="1" max="1" width="11.77734375" style="448" customWidth="1"/>
    <col min="2" max="2" width="19.44140625" style="448" customWidth="1"/>
    <col min="3" max="3" width="11.5546875" style="448" customWidth="1"/>
    <col min="4" max="4" width="10.77734375" style="448" customWidth="1"/>
    <col min="5" max="5" width="11.77734375" style="448" customWidth="1"/>
    <col min="6" max="6" width="11" style="448" customWidth="1"/>
    <col min="7" max="7" width="12.77734375" style="448" customWidth="1"/>
    <col min="8" max="8" width="11.44140625" style="448" customWidth="1"/>
    <col min="9" max="9" width="11" style="448" bestFit="1" customWidth="1"/>
    <col min="10" max="16384" width="9.21875" style="448"/>
  </cols>
  <sheetData>
    <row r="1" spans="1:1" s="493" customFormat="1" ht="17.399999999999999">
      <c r="A1" s="523" t="s">
        <v>1622</v>
      </c>
    </row>
    <row r="2" spans="1:1" s="493" customFormat="1" ht="15.6">
      <c r="A2" s="522" t="s">
        <v>226</v>
      </c>
    </row>
    <row r="3" spans="1:1" s="493" customFormat="1" ht="15.6">
      <c r="A3" s="522" t="s">
        <v>227</v>
      </c>
    </row>
    <row r="4" spans="1:1" s="493" customFormat="1"/>
    <row r="5" spans="1:1" s="493" customFormat="1" ht="15.6">
      <c r="A5" s="536" t="s">
        <v>1623</v>
      </c>
    </row>
    <row r="6" spans="1:1" s="493" customFormat="1" ht="15.6">
      <c r="A6" s="536"/>
    </row>
    <row r="7" spans="1:1" s="493" customFormat="1" ht="15.6">
      <c r="A7" s="540" t="s">
        <v>1624</v>
      </c>
    </row>
    <row r="8" spans="1:1" s="493" customFormat="1" ht="15.6">
      <c r="A8" s="540" t="s">
        <v>1625</v>
      </c>
    </row>
    <row r="9" spans="1:1" s="493" customFormat="1" ht="15.6">
      <c r="A9" s="540" t="s">
        <v>1626</v>
      </c>
    </row>
    <row r="10" spans="1:1" s="493" customFormat="1" ht="15.6">
      <c r="A10" s="540" t="s">
        <v>1627</v>
      </c>
    </row>
    <row r="11" spans="1:1" s="493" customFormat="1" ht="15.6">
      <c r="A11" s="540" t="s">
        <v>1628</v>
      </c>
    </row>
    <row r="12" spans="1:1" s="493" customFormat="1" ht="15.6">
      <c r="A12" s="540" t="s">
        <v>1629</v>
      </c>
    </row>
    <row r="13" spans="1:1" s="493" customFormat="1" ht="15.6">
      <c r="A13" s="540" t="s">
        <v>1630</v>
      </c>
    </row>
    <row r="14" spans="1:1" s="493" customFormat="1" ht="15.6">
      <c r="A14" s="494"/>
    </row>
    <row r="15" spans="1:1" s="493" customFormat="1" ht="15.6">
      <c r="A15" s="494"/>
    </row>
    <row r="16" spans="1:1" s="493" customFormat="1" ht="15.6">
      <c r="A16" s="494" t="s">
        <v>1631</v>
      </c>
    </row>
    <row r="17" spans="1:2" s="493" customFormat="1" ht="16.2" thickBot="1">
      <c r="A17" s="494"/>
    </row>
    <row r="18" spans="1:2" s="493" customFormat="1" ht="63" thickBot="1">
      <c r="A18" s="987" t="s">
        <v>1632</v>
      </c>
      <c r="B18" s="988" t="s">
        <v>1633</v>
      </c>
    </row>
    <row r="19" spans="1:2" s="493" customFormat="1" ht="16.2" thickBot="1">
      <c r="A19" s="569">
        <v>0</v>
      </c>
      <c r="B19" s="800">
        <v>100</v>
      </c>
    </row>
    <row r="20" spans="1:2" s="493" customFormat="1" ht="16.2" thickBot="1">
      <c r="A20" s="569">
        <v>1</v>
      </c>
      <c r="B20" s="800">
        <v>90</v>
      </c>
    </row>
    <row r="21" spans="1:2" s="493" customFormat="1" ht="16.2" thickBot="1">
      <c r="A21" s="569">
        <v>2</v>
      </c>
      <c r="B21" s="800">
        <v>80</v>
      </c>
    </row>
    <row r="22" spans="1:2" s="493" customFormat="1" ht="16.2" thickBot="1">
      <c r="A22" s="569">
        <v>3</v>
      </c>
      <c r="B22" s="800">
        <v>70</v>
      </c>
    </row>
    <row r="23" spans="1:2" s="493" customFormat="1" ht="16.2" thickBot="1">
      <c r="A23" s="569">
        <v>4</v>
      </c>
      <c r="B23" s="800">
        <v>60</v>
      </c>
    </row>
    <row r="24" spans="1:2" s="493" customFormat="1" ht="16.2" thickBot="1">
      <c r="A24" s="569">
        <v>5</v>
      </c>
      <c r="B24" s="800">
        <v>50</v>
      </c>
    </row>
    <row r="25" spans="1:2" s="493" customFormat="1" ht="16.2" thickBot="1">
      <c r="A25" s="569">
        <v>6</v>
      </c>
      <c r="B25" s="800">
        <v>40</v>
      </c>
    </row>
    <row r="26" spans="1:2" s="493" customFormat="1" ht="16.2" thickBot="1">
      <c r="A26" s="569">
        <v>7</v>
      </c>
      <c r="B26" s="800">
        <v>30</v>
      </c>
    </row>
    <row r="27" spans="1:2" s="493" customFormat="1" ht="16.2" thickBot="1">
      <c r="A27" s="569">
        <v>8</v>
      </c>
      <c r="B27" s="800">
        <v>20</v>
      </c>
    </row>
    <row r="28" spans="1:2" s="493" customFormat="1" ht="16.2" thickBot="1">
      <c r="A28" s="569">
        <v>9</v>
      </c>
      <c r="B28" s="800">
        <v>10</v>
      </c>
    </row>
    <row r="29" spans="1:2" s="493" customFormat="1" ht="16.2" thickBot="1">
      <c r="A29" s="569">
        <v>10</v>
      </c>
      <c r="B29" s="800">
        <v>0</v>
      </c>
    </row>
    <row r="30" spans="1:2" s="493" customFormat="1" ht="15.6">
      <c r="A30" s="494"/>
    </row>
    <row r="31" spans="1:2" s="493" customFormat="1" ht="15.6">
      <c r="A31" s="494" t="s">
        <v>1634</v>
      </c>
    </row>
    <row r="32" spans="1:2" s="493" customFormat="1" ht="15.6">
      <c r="A32" s="494"/>
    </row>
    <row r="33" spans="1:1" s="493" customFormat="1" ht="15.6">
      <c r="A33" s="775" t="s">
        <v>1635</v>
      </c>
    </row>
    <row r="34" spans="1:1" ht="15.6">
      <c r="A34" s="989" t="s">
        <v>24</v>
      </c>
    </row>
    <row r="35" spans="1:1" ht="15.6">
      <c r="A35" s="989"/>
    </row>
    <row r="36" spans="1:1" ht="15.6">
      <c r="A36" s="989"/>
    </row>
    <row r="37" spans="1:1" ht="15.6">
      <c r="A37" s="989"/>
    </row>
    <row r="38" spans="1:1" ht="15.6">
      <c r="A38" s="989"/>
    </row>
    <row r="39" spans="1:1" ht="15.6">
      <c r="A39" s="495"/>
    </row>
    <row r="40" spans="1:1" ht="15.6">
      <c r="A40" s="495"/>
    </row>
    <row r="41" spans="1:1" ht="15.6">
      <c r="A41" s="495"/>
    </row>
    <row r="42" spans="1:1" ht="15.6">
      <c r="A42" s="495"/>
    </row>
    <row r="43" spans="1:1" ht="15.6">
      <c r="A43" s="495"/>
    </row>
    <row r="44" spans="1:1" ht="15.6">
      <c r="A44" s="495"/>
    </row>
    <row r="45" spans="1:1" s="493" customFormat="1" ht="15.6">
      <c r="A45" s="775" t="s">
        <v>1636</v>
      </c>
    </row>
    <row r="46" spans="1:1" ht="15.6">
      <c r="A46" s="989" t="s">
        <v>24</v>
      </c>
    </row>
    <row r="47" spans="1:1" ht="15.6">
      <c r="A47" s="495"/>
    </row>
    <row r="48" spans="1:1" ht="15.6">
      <c r="A48" s="495"/>
    </row>
    <row r="49" spans="1:1" ht="15.6">
      <c r="A49" s="495"/>
    </row>
    <row r="50" spans="1:1" ht="15.6">
      <c r="A50" s="495"/>
    </row>
    <row r="51" spans="1:1" ht="15.6">
      <c r="A51" s="495"/>
    </row>
    <row r="52" spans="1:1" ht="15.6">
      <c r="A52" s="495"/>
    </row>
    <row r="53" spans="1:1" ht="15.6">
      <c r="A53" s="495"/>
    </row>
    <row r="54" spans="1:1" ht="15.6">
      <c r="A54" s="495"/>
    </row>
    <row r="55" spans="1:1" ht="15.6">
      <c r="A55" s="495"/>
    </row>
    <row r="56" spans="1:1" ht="15.6">
      <c r="A56" s="495"/>
    </row>
    <row r="57" spans="1:1" ht="15.6">
      <c r="A57" s="495"/>
    </row>
    <row r="58" spans="1:1" s="493" customFormat="1" ht="15.6">
      <c r="A58" s="775" t="s">
        <v>1637</v>
      </c>
    </row>
    <row r="59" spans="1:1" ht="15.6">
      <c r="A59" s="989" t="s">
        <v>24</v>
      </c>
    </row>
    <row r="60" spans="1:1" ht="15.6">
      <c r="A60" s="989"/>
    </row>
    <row r="61" spans="1:1" ht="15.6">
      <c r="A61" s="989"/>
    </row>
    <row r="62" spans="1:1" ht="15.6">
      <c r="A62" s="989"/>
    </row>
    <row r="63" spans="1:1" ht="15.6">
      <c r="A63" s="989"/>
    </row>
    <row r="64" spans="1:1" ht="15.6">
      <c r="A64" s="989"/>
    </row>
    <row r="65" spans="1:2" ht="15.6">
      <c r="A65" s="989"/>
    </row>
    <row r="66" spans="1:2" ht="15.6">
      <c r="A66" s="989"/>
    </row>
    <row r="67" spans="1:2" ht="15.6">
      <c r="A67" s="989"/>
    </row>
    <row r="68" spans="1:2" ht="15.6">
      <c r="A68" s="989"/>
    </row>
    <row r="69" spans="1:2" ht="15.6">
      <c r="A69" s="495"/>
    </row>
    <row r="70" spans="1:2" ht="15.6">
      <c r="A70" s="495"/>
    </row>
    <row r="71" spans="1:2" ht="15.6">
      <c r="A71" s="492"/>
    </row>
    <row r="72" spans="1:2" s="493" customFormat="1" ht="15.6">
      <c r="A72" s="775" t="s">
        <v>1638</v>
      </c>
    </row>
    <row r="73" spans="1:2" s="493" customFormat="1" ht="15.6">
      <c r="A73" s="536"/>
    </row>
    <row r="74" spans="1:2" s="493" customFormat="1" ht="15.6">
      <c r="A74" s="990" t="s">
        <v>1639</v>
      </c>
    </row>
    <row r="75" spans="1:2" s="493" customFormat="1" ht="16.2" thickBot="1">
      <c r="A75" s="543"/>
    </row>
    <row r="76" spans="1:2" s="493" customFormat="1" ht="78.599999999999994" thickBot="1">
      <c r="A76" s="987" t="s">
        <v>1632</v>
      </c>
      <c r="B76" s="988" t="s">
        <v>1640</v>
      </c>
    </row>
    <row r="77" spans="1:2" s="493" customFormat="1" ht="16.2" thickBot="1">
      <c r="A77" s="569">
        <v>0</v>
      </c>
      <c r="B77" s="800">
        <v>100</v>
      </c>
    </row>
    <row r="78" spans="1:2" s="493" customFormat="1" ht="16.2" thickBot="1">
      <c r="A78" s="569">
        <v>1</v>
      </c>
      <c r="B78" s="800">
        <v>95</v>
      </c>
    </row>
    <row r="79" spans="1:2" s="493" customFormat="1" ht="16.2" thickBot="1">
      <c r="A79" s="569">
        <v>2</v>
      </c>
      <c r="B79" s="800">
        <v>85</v>
      </c>
    </row>
    <row r="80" spans="1:2" s="493" customFormat="1" ht="16.2" thickBot="1">
      <c r="A80" s="569">
        <v>3</v>
      </c>
      <c r="B80" s="800">
        <v>75</v>
      </c>
    </row>
    <row r="81" spans="1:2" s="493" customFormat="1" ht="16.2" thickBot="1">
      <c r="A81" s="569">
        <v>4</v>
      </c>
      <c r="B81" s="800">
        <v>65</v>
      </c>
    </row>
    <row r="82" spans="1:2" s="493" customFormat="1" ht="16.2" thickBot="1">
      <c r="A82" s="569">
        <v>5</v>
      </c>
      <c r="B82" s="800">
        <v>55</v>
      </c>
    </row>
    <row r="83" spans="1:2" s="493" customFormat="1" ht="16.2" thickBot="1">
      <c r="A83" s="569">
        <v>6</v>
      </c>
      <c r="B83" s="800">
        <v>45</v>
      </c>
    </row>
    <row r="84" spans="1:2" s="493" customFormat="1" ht="16.2" thickBot="1">
      <c r="A84" s="569">
        <v>7</v>
      </c>
      <c r="B84" s="800">
        <v>35</v>
      </c>
    </row>
    <row r="85" spans="1:2" s="493" customFormat="1" ht="16.2" thickBot="1">
      <c r="A85" s="569">
        <v>8</v>
      </c>
      <c r="B85" s="800">
        <v>25</v>
      </c>
    </row>
    <row r="86" spans="1:2" s="493" customFormat="1" ht="16.2" thickBot="1">
      <c r="A86" s="569">
        <v>9</v>
      </c>
      <c r="B86" s="800">
        <v>15</v>
      </c>
    </row>
    <row r="87" spans="1:2" s="493" customFormat="1" ht="16.2" thickBot="1">
      <c r="A87" s="569">
        <v>10</v>
      </c>
      <c r="B87" s="800">
        <v>0</v>
      </c>
    </row>
    <row r="88" spans="1:2" s="493" customFormat="1" ht="15.6">
      <c r="A88" s="494"/>
    </row>
    <row r="89" spans="1:2" s="493" customFormat="1" ht="15.6">
      <c r="A89" s="539" t="s">
        <v>1641</v>
      </c>
    </row>
    <row r="90" spans="1:2" ht="15.6">
      <c r="A90" s="989" t="s">
        <v>24</v>
      </c>
    </row>
    <row r="91" spans="1:2" ht="15.6">
      <c r="A91" s="495"/>
    </row>
    <row r="92" spans="1:2" ht="15.6">
      <c r="A92" s="495"/>
    </row>
    <row r="93" spans="1:2" ht="15.6">
      <c r="A93" s="495"/>
    </row>
    <row r="94" spans="1:2" ht="15.6">
      <c r="A94" s="495"/>
    </row>
    <row r="95" spans="1:2" ht="15.6">
      <c r="A95" s="495"/>
    </row>
    <row r="96" spans="1:2" ht="15.6">
      <c r="A96" s="495"/>
    </row>
    <row r="97" spans="1:1" ht="15.6">
      <c r="A97" s="495"/>
    </row>
    <row r="98" spans="1:1" ht="15.6">
      <c r="A98" s="495"/>
    </row>
    <row r="99" spans="1:1" ht="15.6">
      <c r="A99" s="495"/>
    </row>
    <row r="100" spans="1:1" ht="15.6">
      <c r="A100" s="495"/>
    </row>
    <row r="101" spans="1:1" ht="15.6">
      <c r="A101" s="495"/>
    </row>
    <row r="102" spans="1:1" s="493" customFormat="1" ht="15.6">
      <c r="A102" s="797" t="s">
        <v>1642</v>
      </c>
    </row>
    <row r="103" spans="1:1" ht="15.6">
      <c r="A103" s="989" t="s">
        <v>24</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C4793-1D15-4862-9B52-3E4192AF71B7}">
  <sheetPr>
    <tabColor rgb="FFFF0000"/>
  </sheetPr>
  <dimension ref="A1:E81"/>
  <sheetViews>
    <sheetView workbookViewId="0">
      <selection sqref="A1:XFD1048576"/>
    </sheetView>
  </sheetViews>
  <sheetFormatPr defaultColWidth="9.21875" defaultRowHeight="14.4"/>
  <cols>
    <col min="1" max="1" width="17.5546875" style="727" customWidth="1"/>
    <col min="2" max="2" width="14.77734375" style="727" customWidth="1"/>
    <col min="3" max="3" width="15.5546875" style="727" customWidth="1"/>
    <col min="4" max="4" width="18.21875" style="727" customWidth="1"/>
    <col min="5" max="5" width="14.21875" style="727" customWidth="1"/>
    <col min="6" max="16384" width="9.21875" style="727"/>
  </cols>
  <sheetData>
    <row r="1" spans="1:5" s="729" customFormat="1" ht="17.399999999999999">
      <c r="A1" s="730" t="s">
        <v>1145</v>
      </c>
    </row>
    <row r="2" spans="1:5" s="729" customFormat="1" ht="15.6">
      <c r="A2" s="731" t="s">
        <v>1144</v>
      </c>
    </row>
    <row r="3" spans="1:5" s="729" customFormat="1"/>
    <row r="4" spans="1:5" s="729" customFormat="1" ht="15.6">
      <c r="A4" s="728" t="s">
        <v>1294</v>
      </c>
    </row>
    <row r="5" spans="1:5" s="729" customFormat="1" ht="16.2" thickBot="1">
      <c r="A5" s="732"/>
    </row>
    <row r="6" spans="1:5" s="729" customFormat="1" ht="33.6" customHeight="1" thickBot="1">
      <c r="A6" s="733" t="s">
        <v>1143</v>
      </c>
      <c r="B6" s="734" t="s">
        <v>1142</v>
      </c>
      <c r="C6" s="734" t="s">
        <v>1141</v>
      </c>
      <c r="D6" s="734" t="s">
        <v>1140</v>
      </c>
      <c r="E6" s="734" t="s">
        <v>1139</v>
      </c>
    </row>
    <row r="7" spans="1:5" s="729" customFormat="1" ht="42.6" customHeight="1" thickBot="1">
      <c r="A7" s="735" t="s">
        <v>1138</v>
      </c>
      <c r="B7" s="736" t="s">
        <v>1137</v>
      </c>
      <c r="C7" s="736" t="s">
        <v>1136</v>
      </c>
      <c r="D7" s="737">
        <v>2004</v>
      </c>
      <c r="E7" s="737">
        <v>100000</v>
      </c>
    </row>
    <row r="8" spans="1:5" s="729" customFormat="1" ht="38.549999999999997" customHeight="1" thickBot="1">
      <c r="A8" s="735" t="s">
        <v>1135</v>
      </c>
      <c r="B8" s="736" t="s">
        <v>1134</v>
      </c>
      <c r="C8" s="736" t="s">
        <v>1133</v>
      </c>
      <c r="D8" s="738">
        <v>120</v>
      </c>
      <c r="E8" s="737">
        <v>10000</v>
      </c>
    </row>
    <row r="9" spans="1:5" s="729" customFormat="1" ht="29.1" customHeight="1" thickBot="1">
      <c r="A9" s="735" t="s">
        <v>1132</v>
      </c>
      <c r="B9" s="736" t="s">
        <v>1131</v>
      </c>
      <c r="C9" s="736" t="s">
        <v>1130</v>
      </c>
      <c r="D9" s="738">
        <v>108</v>
      </c>
      <c r="E9" s="737">
        <v>10000</v>
      </c>
    </row>
    <row r="10" spans="1:5" s="729" customFormat="1" ht="47.55" customHeight="1" thickBot="1">
      <c r="A10" s="735" t="s">
        <v>1129</v>
      </c>
      <c r="B10" s="736" t="s">
        <v>1128</v>
      </c>
      <c r="C10" s="736" t="s">
        <v>1127</v>
      </c>
      <c r="D10" s="738">
        <v>600</v>
      </c>
      <c r="E10" s="737">
        <v>10000</v>
      </c>
    </row>
    <row r="11" spans="1:5" s="729" customFormat="1" ht="15.6">
      <c r="A11" s="732"/>
    </row>
    <row r="12" spans="1:5" s="729" customFormat="1" ht="15.6">
      <c r="A12" s="728"/>
    </row>
    <row r="13" spans="1:5" s="729" customFormat="1" ht="15.6">
      <c r="A13" s="739" t="s">
        <v>1295</v>
      </c>
    </row>
    <row r="14" spans="1:5" s="729" customFormat="1" ht="18">
      <c r="A14" s="739" t="s">
        <v>1296</v>
      </c>
    </row>
    <row r="15" spans="1:5" s="729" customFormat="1" ht="15">
      <c r="A15" s="739" t="s">
        <v>1297</v>
      </c>
    </row>
    <row r="16" spans="1:5" s="729" customFormat="1" ht="15.6">
      <c r="A16" s="740" t="s">
        <v>1126</v>
      </c>
    </row>
    <row r="17" spans="1:1" s="729" customFormat="1" ht="15">
      <c r="A17" s="739" t="s">
        <v>1297</v>
      </c>
    </row>
    <row r="18" spans="1:1" s="729" customFormat="1" ht="15.6">
      <c r="A18" s="740" t="s">
        <v>1125</v>
      </c>
    </row>
    <row r="19" spans="1:1" s="729" customFormat="1" ht="15">
      <c r="A19" s="739" t="s">
        <v>1297</v>
      </c>
    </row>
    <row r="20" spans="1:1" s="729" customFormat="1" ht="15.6">
      <c r="A20" s="740" t="s">
        <v>1125</v>
      </c>
    </row>
    <row r="21" spans="1:1" s="729" customFormat="1" ht="15.6">
      <c r="A21" s="740"/>
    </row>
    <row r="22" spans="1:1" s="729" customFormat="1" ht="15.6">
      <c r="A22" s="728" t="s">
        <v>1298</v>
      </c>
    </row>
    <row r="23" spans="1:1" s="729" customFormat="1" ht="15.6">
      <c r="A23" s="728"/>
    </row>
    <row r="24" spans="1:1" s="729" customFormat="1" ht="15.6">
      <c r="A24" s="741" t="s">
        <v>1124</v>
      </c>
    </row>
    <row r="25" spans="1:1" ht="15.6">
      <c r="A25" s="726" t="s">
        <v>24</v>
      </c>
    </row>
    <row r="45" spans="1:1" s="729" customFormat="1" ht="15.6">
      <c r="A45" s="728" t="s">
        <v>1299</v>
      </c>
    </row>
    <row r="46" spans="1:1" s="729" customFormat="1" ht="15.6">
      <c r="A46" s="728"/>
    </row>
    <row r="47" spans="1:1" s="729" customFormat="1" ht="18.600000000000001">
      <c r="A47" s="739" t="s">
        <v>1300</v>
      </c>
    </row>
    <row r="48" spans="1:1" s="729" customFormat="1" ht="15.6">
      <c r="A48" s="739" t="s">
        <v>1301</v>
      </c>
    </row>
    <row r="49" spans="1:1" s="729" customFormat="1" ht="15.6">
      <c r="A49" s="728"/>
    </row>
    <row r="50" spans="1:1" s="729" customFormat="1" ht="15.6">
      <c r="A50" s="741" t="s">
        <v>1123</v>
      </c>
    </row>
    <row r="51" spans="1:1" ht="15.6">
      <c r="A51" s="726" t="s">
        <v>24</v>
      </c>
    </row>
    <row r="71" spans="1:5" s="729" customFormat="1" ht="15.6">
      <c r="A71" s="728" t="s">
        <v>1302</v>
      </c>
    </row>
    <row r="72" spans="1:5" s="729" customFormat="1" ht="15.6">
      <c r="A72" s="728"/>
    </row>
    <row r="73" spans="1:5" s="729" customFormat="1" ht="16.2" thickBot="1">
      <c r="A73" s="728"/>
    </row>
    <row r="74" spans="1:5" s="729" customFormat="1" ht="16.2" thickBot="1">
      <c r="A74" s="742" t="s">
        <v>1122</v>
      </c>
      <c r="B74" s="1105" t="s">
        <v>1121</v>
      </c>
      <c r="C74" s="1106"/>
      <c r="D74" s="1105" t="s">
        <v>1120</v>
      </c>
      <c r="E74" s="1106"/>
    </row>
    <row r="75" spans="1:5" s="729" customFormat="1" ht="31.8" thickBot="1">
      <c r="A75" s="743" t="s">
        <v>1119</v>
      </c>
      <c r="B75" s="744" t="s">
        <v>997</v>
      </c>
      <c r="C75" s="744" t="s">
        <v>502</v>
      </c>
      <c r="D75" s="744" t="s">
        <v>1118</v>
      </c>
      <c r="E75" s="744" t="s">
        <v>438</v>
      </c>
    </row>
    <row r="76" spans="1:5" s="729" customFormat="1" ht="16.2" thickBot="1">
      <c r="A76" s="743" t="s">
        <v>816</v>
      </c>
      <c r="B76" s="745"/>
      <c r="C76" s="745"/>
      <c r="D76" s="746">
        <v>20000</v>
      </c>
      <c r="E76" s="746">
        <v>80000</v>
      </c>
    </row>
    <row r="77" spans="1:5" s="729" customFormat="1" ht="31.8" thickBot="1">
      <c r="A77" s="743" t="s">
        <v>1117</v>
      </c>
      <c r="B77" s="746">
        <v>45000</v>
      </c>
      <c r="C77" s="746">
        <v>150000</v>
      </c>
      <c r="D77" s="746">
        <v>14000</v>
      </c>
      <c r="E77" s="746">
        <v>74000</v>
      </c>
    </row>
    <row r="78" spans="1:5" s="729" customFormat="1" ht="16.2" thickBot="1">
      <c r="A78" s="743" t="s">
        <v>1116</v>
      </c>
      <c r="B78" s="746">
        <v>50000</v>
      </c>
      <c r="C78" s="746">
        <v>225000</v>
      </c>
      <c r="D78" s="746">
        <v>21000</v>
      </c>
      <c r="E78" s="746">
        <v>75000</v>
      </c>
    </row>
    <row r="79" spans="1:5" s="729" customFormat="1" ht="15.6">
      <c r="A79" s="728"/>
    </row>
    <row r="80" spans="1:5" s="729" customFormat="1" ht="15.6">
      <c r="A80" s="741" t="s">
        <v>1115</v>
      </c>
    </row>
    <row r="81" spans="1:1" ht="15.6">
      <c r="A81" s="726" t="s">
        <v>24</v>
      </c>
    </row>
  </sheetData>
  <mergeCells count="2">
    <mergeCell ref="B74:C74"/>
    <mergeCell ref="D74:E74"/>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3E156-743B-4BBB-8DFA-2C9C872DA514}">
  <sheetPr>
    <tabColor rgb="FFFF0000"/>
  </sheetPr>
  <dimension ref="A1:D43"/>
  <sheetViews>
    <sheetView workbookViewId="0">
      <selection sqref="A1:XFD1048576"/>
    </sheetView>
  </sheetViews>
  <sheetFormatPr defaultColWidth="9.21875" defaultRowHeight="14.4"/>
  <cols>
    <col min="1" max="1" width="42.77734375" style="727" customWidth="1"/>
    <col min="2" max="2" width="11.77734375" style="727" customWidth="1"/>
    <col min="3" max="3" width="11.21875" style="727" customWidth="1"/>
    <col min="4" max="4" width="12" style="727" customWidth="1"/>
    <col min="5" max="16384" width="9.21875" style="727"/>
  </cols>
  <sheetData>
    <row r="1" spans="1:4" s="729" customFormat="1" ht="17.399999999999999">
      <c r="A1" s="730" t="s">
        <v>1153</v>
      </c>
    </row>
    <row r="2" spans="1:4" s="729" customFormat="1" ht="15.6">
      <c r="A2" s="731" t="s">
        <v>336</v>
      </c>
    </row>
    <row r="3" spans="1:4" s="729" customFormat="1" ht="15.6">
      <c r="A3" s="731" t="s">
        <v>823</v>
      </c>
    </row>
    <row r="4" spans="1:4" s="729" customFormat="1"/>
    <row r="5" spans="1:4" s="729" customFormat="1" ht="15.6">
      <c r="A5" s="728" t="s">
        <v>1152</v>
      </c>
    </row>
    <row r="6" spans="1:4" s="729" customFormat="1" ht="16.2" thickBot="1">
      <c r="A6" s="728"/>
    </row>
    <row r="7" spans="1:4" s="729" customFormat="1" ht="16.2" thickBot="1">
      <c r="A7" s="751"/>
      <c r="B7" s="752" t="s">
        <v>3</v>
      </c>
      <c r="C7" s="752" t="s">
        <v>79</v>
      </c>
      <c r="D7" s="752" t="s">
        <v>80</v>
      </c>
    </row>
    <row r="8" spans="1:4" s="729" customFormat="1" ht="16.2" thickBot="1">
      <c r="A8" s="753" t="s">
        <v>166</v>
      </c>
      <c r="B8" s="754">
        <v>22500</v>
      </c>
      <c r="C8" s="754">
        <v>0</v>
      </c>
      <c r="D8" s="754">
        <v>0</v>
      </c>
    </row>
    <row r="9" spans="1:4" s="729" customFormat="1" ht="16.2" thickBot="1">
      <c r="A9" s="753" t="s">
        <v>1151</v>
      </c>
      <c r="B9" s="754">
        <v>2250</v>
      </c>
      <c r="C9" s="754">
        <v>1922</v>
      </c>
      <c r="D9" s="754">
        <v>2516</v>
      </c>
    </row>
    <row r="10" spans="1:4" s="729" customFormat="1" ht="16.2" thickBot="1">
      <c r="A10" s="753" t="s">
        <v>1150</v>
      </c>
      <c r="B10" s="754">
        <v>480</v>
      </c>
      <c r="C10" s="754">
        <v>508.5</v>
      </c>
      <c r="D10" s="754">
        <v>579</v>
      </c>
    </row>
    <row r="11" spans="1:4" s="729" customFormat="1" ht="16.2" thickBot="1">
      <c r="A11" s="753" t="s">
        <v>1149</v>
      </c>
      <c r="B11" s="754">
        <v>-12</v>
      </c>
      <c r="C11" s="754">
        <v>0</v>
      </c>
      <c r="D11" s="754">
        <v>0</v>
      </c>
    </row>
    <row r="12" spans="1:4" s="729" customFormat="1" ht="16.2" thickBot="1">
      <c r="A12" s="753" t="s">
        <v>1148</v>
      </c>
      <c r="B12" s="754">
        <v>-255</v>
      </c>
      <c r="C12" s="754">
        <v>-256.5</v>
      </c>
      <c r="D12" s="754">
        <v>-27120</v>
      </c>
    </row>
    <row r="13" spans="1:4" s="729" customFormat="1" ht="16.2" thickBot="1">
      <c r="A13" s="753" t="s">
        <v>1147</v>
      </c>
      <c r="B13" s="754">
        <v>-24072</v>
      </c>
      <c r="C13" s="754">
        <v>-1116</v>
      </c>
      <c r="D13" s="754">
        <v>25188</v>
      </c>
    </row>
    <row r="14" spans="1:4" s="729" customFormat="1" ht="16.2" thickBot="1">
      <c r="A14" s="753" t="s">
        <v>1146</v>
      </c>
      <c r="B14" s="754">
        <v>0</v>
      </c>
      <c r="C14" s="754">
        <v>0</v>
      </c>
      <c r="D14" s="754">
        <v>0</v>
      </c>
    </row>
    <row r="15" spans="1:4" s="729" customFormat="1" ht="15.6">
      <c r="A15" s="755"/>
    </row>
    <row r="16" spans="1:4" s="729" customFormat="1" ht="15.6">
      <c r="A16" s="755"/>
    </row>
    <row r="17" spans="1:1" s="729" customFormat="1" ht="15.6">
      <c r="A17" s="728" t="s">
        <v>1310</v>
      </c>
    </row>
    <row r="18" spans="1:1" s="729" customFormat="1" ht="15.6">
      <c r="A18" s="728"/>
    </row>
    <row r="19" spans="1:1" s="729" customFormat="1" ht="15.6">
      <c r="A19" s="728" t="s">
        <v>1311</v>
      </c>
    </row>
    <row r="20" spans="1:1" ht="15.6">
      <c r="A20" s="726" t="s">
        <v>24</v>
      </c>
    </row>
    <row r="21" spans="1:1" ht="15.6">
      <c r="A21" s="726"/>
    </row>
    <row r="22" spans="1:1" ht="15.6">
      <c r="A22" s="726"/>
    </row>
    <row r="23" spans="1:1" ht="15.6">
      <c r="A23" s="726"/>
    </row>
    <row r="24" spans="1:1" ht="15.6">
      <c r="A24" s="726"/>
    </row>
    <row r="25" spans="1:1" ht="15.6">
      <c r="A25" s="726"/>
    </row>
    <row r="26" spans="1:1" ht="15.6">
      <c r="A26" s="726"/>
    </row>
    <row r="27" spans="1:1" ht="15.6">
      <c r="A27" s="726"/>
    </row>
    <row r="28" spans="1:1" ht="15.6">
      <c r="A28" s="726"/>
    </row>
    <row r="29" spans="1:1" ht="15.6">
      <c r="A29" s="726"/>
    </row>
    <row r="30" spans="1:1" ht="15.6">
      <c r="A30" s="726"/>
    </row>
    <row r="31" spans="1:1" ht="15.6">
      <c r="A31" s="726"/>
    </row>
    <row r="32" spans="1:1" ht="15.6">
      <c r="A32" s="726"/>
    </row>
    <row r="33" spans="1:1" ht="15.6">
      <c r="A33" s="726"/>
    </row>
    <row r="34" spans="1:1" ht="15.6">
      <c r="A34" s="726"/>
    </row>
    <row r="35" spans="1:1" ht="15.6">
      <c r="A35" s="726"/>
    </row>
    <row r="36" spans="1:1" ht="15.6">
      <c r="A36" s="726"/>
    </row>
    <row r="37" spans="1:1" ht="15.6">
      <c r="A37" s="726"/>
    </row>
    <row r="38" spans="1:1" ht="15.6">
      <c r="A38" s="726"/>
    </row>
    <row r="39" spans="1:1" ht="15.6">
      <c r="A39" s="726"/>
    </row>
    <row r="40" spans="1:1" ht="15.6">
      <c r="A40" s="726"/>
    </row>
    <row r="41" spans="1:1" ht="15.6">
      <c r="A41" s="726"/>
    </row>
    <row r="42" spans="1:1" s="729" customFormat="1" ht="15.6">
      <c r="A42" s="728" t="s">
        <v>1312</v>
      </c>
    </row>
    <row r="43" spans="1:1" ht="15.6">
      <c r="A43" s="726" t="s">
        <v>24</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31932-8F34-4A38-8258-C31373C6B0C1}">
  <sheetPr>
    <tabColor rgb="FFFF0000"/>
  </sheetPr>
  <dimension ref="A1:C49"/>
  <sheetViews>
    <sheetView topLeftCell="A17" workbookViewId="0">
      <selection activeCell="I32" sqref="I32"/>
    </sheetView>
  </sheetViews>
  <sheetFormatPr defaultColWidth="9.21875" defaultRowHeight="14.4"/>
  <cols>
    <col min="1" max="1" width="23.21875" style="727" customWidth="1"/>
    <col min="2" max="3" width="12.21875" style="727" customWidth="1"/>
    <col min="4" max="16384" width="9.21875" style="727"/>
  </cols>
  <sheetData>
    <row r="1" spans="1:3" s="729" customFormat="1" ht="17.399999999999999">
      <c r="A1" s="730" t="s">
        <v>1160</v>
      </c>
    </row>
    <row r="2" spans="1:3" s="729" customFormat="1" ht="15.6">
      <c r="A2" s="731" t="s">
        <v>1006</v>
      </c>
    </row>
    <row r="3" spans="1:3" s="729" customFormat="1" ht="15.6">
      <c r="A3" s="731" t="s">
        <v>1159</v>
      </c>
    </row>
    <row r="4" spans="1:3" s="729" customFormat="1"/>
    <row r="5" spans="1:3" s="729" customFormat="1" ht="15.6">
      <c r="A5" s="741" t="s">
        <v>1303</v>
      </c>
    </row>
    <row r="6" spans="1:3" s="729" customFormat="1" ht="16.2" thickBot="1">
      <c r="A6" s="728"/>
    </row>
    <row r="7" spans="1:3" s="729" customFormat="1" ht="16.2" thickBot="1">
      <c r="A7" s="742"/>
      <c r="B7" s="747" t="s">
        <v>1158</v>
      </c>
      <c r="C7" s="747" t="s">
        <v>497</v>
      </c>
    </row>
    <row r="8" spans="1:3" s="729" customFormat="1" ht="34.5" customHeight="1" thickBot="1">
      <c r="A8" s="743" t="s">
        <v>1157</v>
      </c>
      <c r="B8" s="748">
        <v>150000000</v>
      </c>
      <c r="C8" s="748">
        <v>100000000</v>
      </c>
    </row>
    <row r="9" spans="1:3" s="729" customFormat="1" ht="24" customHeight="1" thickBot="1">
      <c r="A9" s="743" t="s">
        <v>1156</v>
      </c>
      <c r="B9" s="749">
        <v>0.05</v>
      </c>
      <c r="C9" s="749">
        <v>2.5000000000000001E-2</v>
      </c>
    </row>
    <row r="10" spans="1:3" s="729" customFormat="1" ht="37.5" customHeight="1" thickBot="1">
      <c r="A10" s="743" t="s">
        <v>1155</v>
      </c>
      <c r="B10" s="748">
        <v>1500000</v>
      </c>
      <c r="C10" s="748">
        <v>1250000</v>
      </c>
    </row>
    <row r="11" spans="1:3" s="729" customFormat="1" ht="15.6">
      <c r="A11" s="728"/>
    </row>
    <row r="12" spans="1:3" s="729" customFormat="1" ht="15.6">
      <c r="A12" s="739" t="s">
        <v>1304</v>
      </c>
    </row>
    <row r="13" spans="1:3" s="729" customFormat="1" ht="15.6">
      <c r="A13" s="728"/>
    </row>
    <row r="14" spans="1:3" s="729" customFormat="1" ht="15.6">
      <c r="A14" s="728" t="s">
        <v>1154</v>
      </c>
    </row>
    <row r="15" spans="1:3" s="729" customFormat="1" ht="15.6">
      <c r="A15" s="728"/>
    </row>
    <row r="16" spans="1:3" s="729" customFormat="1" ht="15.6">
      <c r="A16" s="728" t="s">
        <v>1305</v>
      </c>
    </row>
    <row r="17" spans="1:1" ht="15.6">
      <c r="A17" s="726" t="s">
        <v>24</v>
      </c>
    </row>
    <row r="18" spans="1:1" ht="15.6">
      <c r="A18" s="726"/>
    </row>
    <row r="19" spans="1:1" ht="15.6">
      <c r="A19" s="726"/>
    </row>
    <row r="20" spans="1:1" ht="15.6">
      <c r="A20" s="726"/>
    </row>
    <row r="21" spans="1:1" ht="15.6">
      <c r="A21" s="726"/>
    </row>
    <row r="22" spans="1:1" ht="15.6">
      <c r="A22" s="726"/>
    </row>
    <row r="23" spans="1:1" ht="15.6">
      <c r="A23" s="750"/>
    </row>
    <row r="24" spans="1:1" s="729" customFormat="1" ht="15.6">
      <c r="A24" s="728" t="s">
        <v>1306</v>
      </c>
    </row>
    <row r="25" spans="1:1" ht="15.6">
      <c r="A25" s="726" t="s">
        <v>24</v>
      </c>
    </row>
    <row r="26" spans="1:1" ht="15.6">
      <c r="A26" s="726"/>
    </row>
    <row r="27" spans="1:1" ht="15.6">
      <c r="A27" s="726"/>
    </row>
    <row r="28" spans="1:1" ht="15.6">
      <c r="A28" s="726"/>
    </row>
    <row r="29" spans="1:1" ht="15.6">
      <c r="A29" s="726"/>
    </row>
    <row r="30" spans="1:1" ht="15.6">
      <c r="A30" s="726"/>
    </row>
    <row r="31" spans="1:1" ht="15.6">
      <c r="A31" s="726"/>
    </row>
    <row r="32" spans="1:1" s="729" customFormat="1" ht="15.6">
      <c r="A32" s="728" t="s">
        <v>1307</v>
      </c>
    </row>
    <row r="33" spans="1:1" ht="15.6">
      <c r="A33" s="726" t="s">
        <v>24</v>
      </c>
    </row>
    <row r="34" spans="1:1" ht="15.6">
      <c r="A34" s="726"/>
    </row>
    <row r="35" spans="1:1" ht="15.6">
      <c r="A35" s="726"/>
    </row>
    <row r="36" spans="1:1" ht="15.6">
      <c r="A36" s="726"/>
    </row>
    <row r="37" spans="1:1" ht="15.6">
      <c r="A37" s="726"/>
    </row>
    <row r="38" spans="1:1" ht="15.6">
      <c r="A38" s="726"/>
    </row>
    <row r="39" spans="1:1" ht="15.6">
      <c r="A39" s="726"/>
    </row>
    <row r="40" spans="1:1" s="729" customFormat="1" ht="15.6">
      <c r="A40" s="728" t="s">
        <v>1308</v>
      </c>
    </row>
    <row r="41" spans="1:1" ht="15.6">
      <c r="A41" s="726" t="s">
        <v>24</v>
      </c>
    </row>
    <row r="42" spans="1:1" ht="15.6">
      <c r="A42" s="726"/>
    </row>
    <row r="43" spans="1:1" ht="15.6">
      <c r="A43" s="726"/>
    </row>
    <row r="44" spans="1:1" ht="15.6">
      <c r="A44" s="726"/>
    </row>
    <row r="45" spans="1:1" ht="15.6">
      <c r="A45" s="726"/>
    </row>
    <row r="46" spans="1:1" ht="15.6">
      <c r="A46" s="726"/>
    </row>
    <row r="47" spans="1:1" ht="15.6">
      <c r="A47" s="726"/>
    </row>
    <row r="48" spans="1:1" s="729" customFormat="1" ht="15.6">
      <c r="A48" s="728" t="s">
        <v>1309</v>
      </c>
    </row>
    <row r="49" spans="1:1" ht="15.6">
      <c r="A49" s="726" t="s">
        <v>24</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58696-87E2-496E-9A23-799FDA623792}">
  <sheetPr>
    <tabColor theme="3"/>
  </sheetPr>
  <dimension ref="A1"/>
  <sheetViews>
    <sheetView workbookViewId="0">
      <selection activeCell="M15" sqref="M15"/>
    </sheetView>
  </sheetViews>
  <sheetFormatPr defaultRowHeight="13.2"/>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8977B-A24A-4370-A261-D6D27C988314}">
  <dimension ref="A1:H44"/>
  <sheetViews>
    <sheetView workbookViewId="0">
      <selection activeCell="B8" sqref="B8"/>
    </sheetView>
  </sheetViews>
  <sheetFormatPr defaultColWidth="9.21875" defaultRowHeight="14.4"/>
  <cols>
    <col min="1" max="1" width="33.44140625" style="448" customWidth="1"/>
    <col min="2" max="2" width="25.5546875" style="448" customWidth="1"/>
    <col min="3" max="3" width="12" style="448" customWidth="1"/>
    <col min="4" max="4" width="10.21875" style="448" customWidth="1"/>
    <col min="5" max="5" width="12.21875" style="448" customWidth="1"/>
    <col min="6" max="6" width="11.77734375" style="448" customWidth="1"/>
    <col min="7" max="7" width="13.44140625" style="448" customWidth="1"/>
    <col min="8" max="8" width="12.44140625" style="448" customWidth="1"/>
    <col min="9" max="16384" width="9.21875" style="448"/>
  </cols>
  <sheetData>
    <row r="1" spans="1:8" s="493" customFormat="1" ht="17.399999999999999">
      <c r="A1" s="523" t="s">
        <v>1324</v>
      </c>
    </row>
    <row r="2" spans="1:8" s="493" customFormat="1" ht="15.6">
      <c r="A2" s="522" t="s">
        <v>291</v>
      </c>
    </row>
    <row r="3" spans="1:8" s="493" customFormat="1" ht="15.6">
      <c r="A3" s="522" t="s">
        <v>1005</v>
      </c>
    </row>
    <row r="4" spans="1:8" s="493" customFormat="1"/>
    <row r="5" spans="1:8" s="493" customFormat="1" ht="15.6">
      <c r="A5" s="494" t="s">
        <v>1323</v>
      </c>
    </row>
    <row r="6" spans="1:8" s="493" customFormat="1" ht="16.2" thickBot="1">
      <c r="A6" s="494"/>
    </row>
    <row r="7" spans="1:8" s="493" customFormat="1" ht="15" customHeight="1" thickBot="1">
      <c r="A7" s="535" t="s">
        <v>1017</v>
      </c>
      <c r="B7" s="760">
        <v>0.04</v>
      </c>
    </row>
    <row r="8" spans="1:8" s="493" customFormat="1" ht="15" customHeight="1" thickBot="1">
      <c r="A8" s="533" t="s">
        <v>1322</v>
      </c>
      <c r="B8" s="759">
        <v>0.125</v>
      </c>
    </row>
    <row r="9" spans="1:8" s="493" customFormat="1" ht="15" customHeight="1" thickBot="1">
      <c r="A9" s="533" t="s">
        <v>1321</v>
      </c>
      <c r="B9" s="759">
        <v>1.4999999999999999E-2</v>
      </c>
    </row>
    <row r="10" spans="1:8" s="493" customFormat="1" ht="15" customHeight="1" thickBot="1">
      <c r="A10" s="533" t="s">
        <v>1015</v>
      </c>
      <c r="B10" s="759">
        <v>0.02</v>
      </c>
    </row>
    <row r="11" spans="1:8" s="493" customFormat="1" ht="15" customHeight="1" thickBot="1">
      <c r="A11" s="533" t="s">
        <v>144</v>
      </c>
      <c r="B11" s="759">
        <v>2.5000000000000001E-2</v>
      </c>
    </row>
    <row r="12" spans="1:8" s="493" customFormat="1" ht="15.6">
      <c r="A12" s="494"/>
    </row>
    <row r="13" spans="1:8" s="493" customFormat="1" ht="15.6">
      <c r="A13" s="494" t="s">
        <v>1320</v>
      </c>
    </row>
    <row r="14" spans="1:8" s="493" customFormat="1" ht="16.2" thickBot="1">
      <c r="A14" s="494"/>
    </row>
    <row r="15" spans="1:8" s="493" customFormat="1" ht="16.2" thickBot="1">
      <c r="A15" s="535"/>
      <c r="B15" s="562"/>
      <c r="C15" s="562"/>
      <c r="D15" s="562"/>
      <c r="E15" s="1107" t="s">
        <v>1319</v>
      </c>
      <c r="F15" s="1108"/>
      <c r="G15" s="1107" t="s">
        <v>1318</v>
      </c>
      <c r="H15" s="1108"/>
    </row>
    <row r="16" spans="1:8" s="493" customFormat="1" ht="33" customHeight="1" thickBot="1">
      <c r="A16" s="561" t="s">
        <v>1317</v>
      </c>
      <c r="B16" s="565" t="s">
        <v>1012</v>
      </c>
      <c r="C16" s="565" t="s">
        <v>810</v>
      </c>
      <c r="D16" s="565" t="s">
        <v>1316</v>
      </c>
      <c r="E16" s="565" t="s">
        <v>1014</v>
      </c>
      <c r="F16" s="565" t="s">
        <v>1013</v>
      </c>
      <c r="G16" s="565" t="s">
        <v>1014</v>
      </c>
      <c r="H16" s="565" t="s">
        <v>1013</v>
      </c>
    </row>
    <row r="17" spans="1:8" s="493" customFormat="1" ht="16.2" thickBot="1">
      <c r="A17" s="561">
        <v>0</v>
      </c>
      <c r="B17" s="565"/>
      <c r="C17" s="565">
        <v>1</v>
      </c>
      <c r="D17" s="565"/>
      <c r="E17" s="758">
        <v>1000000</v>
      </c>
      <c r="F17" s="758">
        <v>875000</v>
      </c>
      <c r="G17" s="758">
        <v>1000000</v>
      </c>
      <c r="H17" s="758">
        <v>875000</v>
      </c>
    </row>
    <row r="18" spans="1:8" s="493" customFormat="1" ht="16.2" thickBot="1">
      <c r="A18" s="561">
        <v>1</v>
      </c>
      <c r="B18" s="759">
        <v>1E-3</v>
      </c>
      <c r="C18" s="565">
        <v>0.999</v>
      </c>
      <c r="D18" s="758">
        <v>40800</v>
      </c>
      <c r="E18" s="758">
        <v>1040800</v>
      </c>
      <c r="F18" s="758">
        <v>888125</v>
      </c>
      <c r="G18" s="758">
        <v>1039759</v>
      </c>
      <c r="H18" s="758">
        <v>887237</v>
      </c>
    </row>
    <row r="19" spans="1:8" s="493" customFormat="1" ht="16.2" thickBot="1">
      <c r="A19" s="561">
        <v>2</v>
      </c>
      <c r="B19" s="759">
        <v>3.0000000000000001E-3</v>
      </c>
      <c r="C19" s="565">
        <v>0.996</v>
      </c>
      <c r="D19" s="758">
        <v>42465</v>
      </c>
      <c r="E19" s="758">
        <v>1083265</v>
      </c>
      <c r="F19" s="758">
        <v>901447</v>
      </c>
      <c r="G19" s="758">
        <v>1078935</v>
      </c>
      <c r="H19" s="758">
        <v>897844</v>
      </c>
    </row>
    <row r="20" spans="1:8" s="493" customFormat="1" ht="16.2" thickBot="1">
      <c r="A20" s="561">
        <v>3</v>
      </c>
      <c r="B20" s="759">
        <v>5.0000000000000001E-3</v>
      </c>
      <c r="C20" s="565">
        <v>0.99102000000000001</v>
      </c>
      <c r="D20" s="758">
        <v>44197</v>
      </c>
      <c r="E20" s="758">
        <v>1127462</v>
      </c>
      <c r="F20" s="758">
        <v>914969</v>
      </c>
      <c r="G20" s="758">
        <v>1117341</v>
      </c>
      <c r="H20" s="758">
        <v>906755</v>
      </c>
    </row>
    <row r="21" spans="1:8" s="493" customFormat="1" ht="16.2" thickBot="1">
      <c r="A21" s="561">
        <v>4</v>
      </c>
      <c r="B21" s="759">
        <v>7.0000000000000001E-3</v>
      </c>
      <c r="C21" s="565">
        <v>0.98409000000000002</v>
      </c>
      <c r="D21" s="758">
        <v>46000</v>
      </c>
      <c r="E21" s="758">
        <v>1173462</v>
      </c>
      <c r="F21" s="758">
        <v>928693</v>
      </c>
      <c r="G21" s="758">
        <v>1154788</v>
      </c>
      <c r="H21" s="758">
        <v>913914</v>
      </c>
    </row>
    <row r="22" spans="1:8" s="493" customFormat="1" ht="16.2" thickBot="1">
      <c r="A22" s="561">
        <v>5</v>
      </c>
      <c r="B22" s="759">
        <v>8.9999999999999993E-3</v>
      </c>
      <c r="C22" s="565">
        <v>0.97523000000000004</v>
      </c>
      <c r="D22" s="758">
        <v>47877</v>
      </c>
      <c r="E22" s="758">
        <v>1221340</v>
      </c>
      <c r="F22" s="758">
        <v>942624</v>
      </c>
      <c r="G22" s="758">
        <v>1191086</v>
      </c>
      <c r="H22" s="758">
        <v>919274</v>
      </c>
    </row>
    <row r="23" spans="1:8" s="493" customFormat="1" ht="15.6">
      <c r="A23" s="494"/>
    </row>
    <row r="24" spans="1:8" s="493" customFormat="1" ht="15.6">
      <c r="A24" s="494" t="s">
        <v>1315</v>
      </c>
    </row>
    <row r="25" spans="1:8" s="493" customFormat="1" ht="15.6">
      <c r="A25" s="494"/>
    </row>
    <row r="26" spans="1:8" s="493" customFormat="1" ht="15.6">
      <c r="A26" s="536" t="s">
        <v>1314</v>
      </c>
    </row>
    <row r="27" spans="1:8" ht="15.6">
      <c r="A27" s="756" t="s">
        <v>24</v>
      </c>
    </row>
    <row r="43" spans="1:1" s="493" customFormat="1" ht="15.6">
      <c r="A43" s="757" t="s">
        <v>1313</v>
      </c>
    </row>
    <row r="44" spans="1:1" ht="15.6">
      <c r="A44" s="756" t="s">
        <v>24</v>
      </c>
    </row>
  </sheetData>
  <mergeCells count="2">
    <mergeCell ref="E15:F15"/>
    <mergeCell ref="G15:H15"/>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E5E54-0361-441A-9936-C11F7BB1E2CF}">
  <dimension ref="A1:F58"/>
  <sheetViews>
    <sheetView workbookViewId="0">
      <selection activeCell="B8" sqref="B8"/>
    </sheetView>
  </sheetViews>
  <sheetFormatPr defaultColWidth="9.21875" defaultRowHeight="14.4"/>
  <cols>
    <col min="1" max="1" width="45.5546875" style="448" customWidth="1"/>
    <col min="2" max="2" width="23.77734375" style="448" customWidth="1"/>
    <col min="3" max="3" width="12.77734375" style="448" customWidth="1"/>
    <col min="4" max="4" width="13.5546875" style="448" customWidth="1"/>
    <col min="5" max="5" width="13.21875" style="448" customWidth="1"/>
    <col min="6" max="6" width="11.77734375" style="448" customWidth="1"/>
    <col min="7" max="16384" width="9.21875" style="448"/>
  </cols>
  <sheetData>
    <row r="1" spans="1:5" s="493" customFormat="1" ht="17.399999999999999">
      <c r="A1" s="523" t="s">
        <v>1349</v>
      </c>
    </row>
    <row r="2" spans="1:5" s="493" customFormat="1" ht="15.6">
      <c r="A2" s="522" t="s">
        <v>226</v>
      </c>
    </row>
    <row r="3" spans="1:5" s="493" customFormat="1" ht="15.6">
      <c r="A3" s="522" t="s">
        <v>1348</v>
      </c>
    </row>
    <row r="4" spans="1:5" s="493" customFormat="1"/>
    <row r="5" spans="1:5" s="493" customFormat="1" ht="15.6">
      <c r="A5" s="494" t="s">
        <v>1347</v>
      </c>
    </row>
    <row r="6" spans="1:5" s="493" customFormat="1" ht="15.6">
      <c r="A6" s="494" t="s">
        <v>1346</v>
      </c>
    </row>
    <row r="7" spans="1:5" s="493" customFormat="1" ht="16.2" thickBot="1">
      <c r="A7" s="494"/>
    </row>
    <row r="8" spans="1:5" s="493" customFormat="1" ht="16.2" thickBot="1">
      <c r="A8" s="773" t="s">
        <v>1345</v>
      </c>
      <c r="B8" s="772">
        <v>10000</v>
      </c>
    </row>
    <row r="9" spans="1:5" s="493" customFormat="1" ht="16.2" thickBot="1">
      <c r="A9" s="768" t="s">
        <v>1344</v>
      </c>
      <c r="B9" s="770">
        <v>1.75</v>
      </c>
    </row>
    <row r="10" spans="1:5" s="493" customFormat="1" ht="16.2" thickBot="1">
      <c r="A10" s="768" t="s">
        <v>1343</v>
      </c>
      <c r="B10" s="771">
        <v>250000</v>
      </c>
    </row>
    <row r="11" spans="1:5" s="493" customFormat="1" ht="16.2" thickBot="1">
      <c r="A11" s="768" t="s">
        <v>1342</v>
      </c>
      <c r="B11" s="770">
        <v>50</v>
      </c>
    </row>
    <row r="12" spans="1:5" s="493" customFormat="1" ht="16.2" thickBot="1">
      <c r="A12" s="768" t="s">
        <v>1341</v>
      </c>
      <c r="B12" s="769">
        <v>2.2499999999999999E-2</v>
      </c>
    </row>
    <row r="13" spans="1:5" s="493" customFormat="1" ht="16.2" thickBot="1">
      <c r="A13" s="768" t="s">
        <v>1340</v>
      </c>
      <c r="B13" s="767">
        <v>0.4</v>
      </c>
    </row>
    <row r="14" spans="1:5" s="493" customFormat="1" ht="16.2" thickBot="1">
      <c r="A14" s="1109" t="s">
        <v>1339</v>
      </c>
      <c r="B14" s="1110"/>
    </row>
    <row r="15" spans="1:5" s="493" customFormat="1" ht="16.2" thickBot="1">
      <c r="A15" s="494"/>
    </row>
    <row r="16" spans="1:5" s="493" customFormat="1" ht="63" thickBot="1">
      <c r="A16" s="765" t="s">
        <v>1334</v>
      </c>
      <c r="B16" s="566" t="s">
        <v>1338</v>
      </c>
      <c r="C16" s="566" t="s">
        <v>1337</v>
      </c>
      <c r="D16" s="566" t="s">
        <v>1336</v>
      </c>
      <c r="E16" s="566" t="s">
        <v>1335</v>
      </c>
    </row>
    <row r="17" spans="1:6" s="493" customFormat="1" ht="16.2" thickBot="1">
      <c r="A17" s="546">
        <v>1</v>
      </c>
      <c r="B17" s="766">
        <v>0.2</v>
      </c>
      <c r="C17" s="766">
        <v>0.9</v>
      </c>
      <c r="D17" s="766">
        <v>1</v>
      </c>
      <c r="E17" s="766">
        <v>0.02</v>
      </c>
    </row>
    <row r="18" spans="1:6" s="493" customFormat="1" ht="16.2" thickBot="1">
      <c r="A18" s="546">
        <v>2</v>
      </c>
      <c r="B18" s="766">
        <v>0.1</v>
      </c>
      <c r="C18" s="766">
        <v>0.2</v>
      </c>
      <c r="D18" s="766">
        <v>0.25</v>
      </c>
      <c r="E18" s="766">
        <v>0.02</v>
      </c>
    </row>
    <row r="19" spans="1:6" s="493" customFormat="1" ht="16.2" thickBot="1">
      <c r="A19" s="546">
        <v>3</v>
      </c>
      <c r="B19" s="766">
        <v>0.05</v>
      </c>
      <c r="C19" s="766">
        <v>0.1</v>
      </c>
      <c r="D19" s="766">
        <v>0.1</v>
      </c>
      <c r="E19" s="766">
        <v>0.02</v>
      </c>
    </row>
    <row r="20" spans="1:6" s="493" customFormat="1" ht="16.2" thickBot="1">
      <c r="A20" s="546">
        <v>4</v>
      </c>
      <c r="B20" s="766">
        <v>0.05</v>
      </c>
      <c r="C20" s="766">
        <v>0.1</v>
      </c>
      <c r="D20" s="766">
        <v>0.1</v>
      </c>
      <c r="E20" s="766">
        <v>0.02</v>
      </c>
    </row>
    <row r="21" spans="1:6" s="493" customFormat="1" ht="16.2" thickBot="1">
      <c r="A21" s="546">
        <v>5</v>
      </c>
      <c r="B21" s="766">
        <v>1</v>
      </c>
      <c r="C21" s="766">
        <v>0.05</v>
      </c>
      <c r="D21" s="766">
        <v>0.1</v>
      </c>
      <c r="E21" s="766">
        <v>0.02</v>
      </c>
    </row>
    <row r="22" spans="1:6" s="493" customFormat="1" ht="15" thickBot="1">
      <c r="A22" s="552"/>
    </row>
    <row r="23" spans="1:6" s="493" customFormat="1" ht="59.1" customHeight="1" thickBot="1">
      <c r="A23" s="765" t="s">
        <v>1334</v>
      </c>
      <c r="B23" s="566" t="s">
        <v>1333</v>
      </c>
      <c r="C23" s="566" t="s">
        <v>1332</v>
      </c>
      <c r="D23" s="566" t="s">
        <v>1331</v>
      </c>
      <c r="E23" s="566" t="s">
        <v>1330</v>
      </c>
      <c r="F23" s="566" t="s">
        <v>1329</v>
      </c>
    </row>
    <row r="24" spans="1:6" s="493" customFormat="1" ht="16.2" thickBot="1">
      <c r="A24" s="546">
        <v>1</v>
      </c>
      <c r="B24" s="764">
        <v>45</v>
      </c>
      <c r="C24" s="764">
        <v>50</v>
      </c>
      <c r="D24" s="764">
        <v>15</v>
      </c>
      <c r="E24" s="764">
        <v>50</v>
      </c>
      <c r="F24" s="764">
        <v>75</v>
      </c>
    </row>
    <row r="25" spans="1:6" s="493" customFormat="1" ht="16.2" thickBot="1">
      <c r="A25" s="546">
        <v>2</v>
      </c>
      <c r="B25" s="764">
        <v>0</v>
      </c>
      <c r="C25" s="764">
        <v>0</v>
      </c>
      <c r="D25" s="764">
        <v>0</v>
      </c>
      <c r="E25" s="764">
        <v>50</v>
      </c>
      <c r="F25" s="764">
        <v>75</v>
      </c>
    </row>
    <row r="26" spans="1:6" s="493" customFormat="1" ht="16.2" thickBot="1">
      <c r="A26" s="546">
        <v>3</v>
      </c>
      <c r="B26" s="764">
        <v>0</v>
      </c>
      <c r="C26" s="764">
        <v>0</v>
      </c>
      <c r="D26" s="764">
        <v>0</v>
      </c>
      <c r="E26" s="764">
        <v>50</v>
      </c>
      <c r="F26" s="764">
        <v>75</v>
      </c>
    </row>
    <row r="27" spans="1:6" s="493" customFormat="1" ht="16.2" thickBot="1">
      <c r="A27" s="546">
        <v>4</v>
      </c>
      <c r="B27" s="764">
        <v>0</v>
      </c>
      <c r="C27" s="764">
        <v>0</v>
      </c>
      <c r="D27" s="764">
        <v>0</v>
      </c>
      <c r="E27" s="764">
        <v>50</v>
      </c>
      <c r="F27" s="764">
        <v>75</v>
      </c>
    </row>
    <row r="28" spans="1:6" s="493" customFormat="1" ht="16.2" thickBot="1">
      <c r="A28" s="546">
        <v>5</v>
      </c>
      <c r="B28" s="764">
        <v>0</v>
      </c>
      <c r="C28" s="764">
        <v>0</v>
      </c>
      <c r="D28" s="764">
        <v>0</v>
      </c>
      <c r="E28" s="764">
        <v>50</v>
      </c>
      <c r="F28" s="764">
        <v>75</v>
      </c>
    </row>
    <row r="29" spans="1:6" s="493" customFormat="1" ht="15.6">
      <c r="A29" s="494"/>
    </row>
    <row r="30" spans="1:6" s="493" customFormat="1" ht="15.6">
      <c r="A30" s="494"/>
    </row>
    <row r="31" spans="1:6" s="493" customFormat="1" ht="15.6">
      <c r="A31" s="494" t="s">
        <v>1328</v>
      </c>
    </row>
    <row r="32" spans="1:6" ht="15.6">
      <c r="A32" s="756" t="s">
        <v>24</v>
      </c>
    </row>
    <row r="33" spans="1:1" ht="15.6">
      <c r="A33" s="492"/>
    </row>
    <row r="34" spans="1:1" ht="15.6">
      <c r="A34" s="492"/>
    </row>
    <row r="35" spans="1:1" ht="15.6">
      <c r="A35" s="492"/>
    </row>
    <row r="36" spans="1:1" ht="15.6">
      <c r="A36" s="492"/>
    </row>
    <row r="37" spans="1:1" ht="15.6">
      <c r="A37" s="492"/>
    </row>
    <row r="38" spans="1:1" ht="15.6">
      <c r="A38" s="492"/>
    </row>
    <row r="39" spans="1:1" ht="15.6">
      <c r="A39" s="492"/>
    </row>
    <row r="40" spans="1:1" ht="15.6">
      <c r="A40" s="492"/>
    </row>
    <row r="41" spans="1:1" ht="15.6">
      <c r="A41" s="492"/>
    </row>
    <row r="42" spans="1:1" ht="15.6">
      <c r="A42" s="763"/>
    </row>
    <row r="43" spans="1:1" s="493" customFormat="1" ht="15.6">
      <c r="A43" s="762" t="s">
        <v>1327</v>
      </c>
    </row>
    <row r="44" spans="1:1" s="493" customFormat="1" ht="15.6">
      <c r="A44" s="536"/>
    </row>
    <row r="45" spans="1:1" s="493" customFormat="1" ht="15.6">
      <c r="A45" s="536" t="s">
        <v>1326</v>
      </c>
    </row>
    <row r="46" spans="1:1" ht="15.6">
      <c r="A46" s="756" t="s">
        <v>24</v>
      </c>
    </row>
    <row r="47" spans="1:1" ht="15.6">
      <c r="A47" s="761"/>
    </row>
    <row r="48" spans="1:1" ht="15.6">
      <c r="A48" s="761"/>
    </row>
    <row r="49" spans="1:1" ht="15.6">
      <c r="A49" s="761"/>
    </row>
    <row r="50" spans="1:1" ht="15.6">
      <c r="A50" s="761"/>
    </row>
    <row r="51" spans="1:1" ht="15.6">
      <c r="A51" s="761"/>
    </row>
    <row r="52" spans="1:1" ht="15.6">
      <c r="A52" s="761"/>
    </row>
    <row r="53" spans="1:1" ht="15.6">
      <c r="A53" s="761"/>
    </row>
    <row r="54" spans="1:1" ht="15.6">
      <c r="A54" s="761"/>
    </row>
    <row r="55" spans="1:1" ht="15.6">
      <c r="A55" s="761"/>
    </row>
    <row r="56" spans="1:1" ht="15.6">
      <c r="A56" s="542"/>
    </row>
    <row r="57" spans="1:1" s="493" customFormat="1" ht="15.6">
      <c r="A57" s="536" t="s">
        <v>1325</v>
      </c>
    </row>
    <row r="58" spans="1:1" ht="15.6">
      <c r="A58" s="756" t="s">
        <v>24</v>
      </c>
    </row>
  </sheetData>
  <mergeCells count="1">
    <mergeCell ref="A14:B14"/>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818B8-F1EE-4835-A6E0-541101ACBA6B}">
  <dimension ref="A1:D44"/>
  <sheetViews>
    <sheetView workbookViewId="0">
      <selection activeCell="B8" sqref="B8"/>
    </sheetView>
  </sheetViews>
  <sheetFormatPr defaultColWidth="9.21875" defaultRowHeight="14.4"/>
  <cols>
    <col min="1" max="1" width="9.21875" style="448"/>
    <col min="2" max="3" width="14.77734375" style="448" customWidth="1"/>
    <col min="4" max="4" width="14.44140625" style="448" customWidth="1"/>
    <col min="5" max="16384" width="9.21875" style="448"/>
  </cols>
  <sheetData>
    <row r="1" spans="1:4" s="493" customFormat="1" ht="17.399999999999999">
      <c r="A1" s="523" t="s">
        <v>1363</v>
      </c>
    </row>
    <row r="2" spans="1:4" s="493" customFormat="1" ht="15.6">
      <c r="A2" s="522" t="s">
        <v>291</v>
      </c>
    </row>
    <row r="3" spans="1:4" s="493" customFormat="1" ht="15.6">
      <c r="A3" s="522" t="s">
        <v>1005</v>
      </c>
    </row>
    <row r="4" spans="1:4" s="493" customFormat="1"/>
    <row r="5" spans="1:4" s="493" customFormat="1" ht="15.6">
      <c r="A5" s="494" t="s">
        <v>1362</v>
      </c>
    </row>
    <row r="6" spans="1:4" s="493" customFormat="1" ht="15.6">
      <c r="A6" s="494"/>
    </row>
    <row r="7" spans="1:4" s="493" customFormat="1" ht="15.6">
      <c r="A7" s="521" t="s">
        <v>1361</v>
      </c>
    </row>
    <row r="8" spans="1:4" s="493" customFormat="1" ht="15.6">
      <c r="A8" s="521" t="s">
        <v>1360</v>
      </c>
    </row>
    <row r="9" spans="1:4" s="493" customFormat="1" ht="15.6">
      <c r="A9" s="521" t="s">
        <v>1359</v>
      </c>
    </row>
    <row r="10" spans="1:4" s="493" customFormat="1" ht="15.6">
      <c r="A10" s="521" t="s">
        <v>1358</v>
      </c>
      <c r="D10" s="774">
        <v>1000000</v>
      </c>
    </row>
    <row r="11" spans="1:4" s="493" customFormat="1" ht="15.6">
      <c r="A11" s="521" t="s">
        <v>1357</v>
      </c>
      <c r="D11" s="774">
        <v>10000</v>
      </c>
    </row>
    <row r="12" spans="1:4" s="493" customFormat="1" ht="15.6">
      <c r="A12" s="521" t="s">
        <v>1356</v>
      </c>
    </row>
    <row r="13" spans="1:4" s="493" customFormat="1" ht="16.2" thickBot="1">
      <c r="A13" s="567"/>
    </row>
    <row r="14" spans="1:4" s="493" customFormat="1" ht="50.1" customHeight="1" thickBot="1">
      <c r="A14" s="535" t="s">
        <v>374</v>
      </c>
      <c r="B14" s="562" t="s">
        <v>1355</v>
      </c>
      <c r="C14" s="562" t="s">
        <v>1354</v>
      </c>
      <c r="D14" s="562" t="s">
        <v>1353</v>
      </c>
    </row>
    <row r="15" spans="1:4" s="493" customFormat="1" ht="16.2" thickBot="1">
      <c r="A15" s="561">
        <v>1</v>
      </c>
      <c r="B15" s="560">
        <v>0.03</v>
      </c>
      <c r="C15" s="565"/>
      <c r="D15" s="759">
        <v>1E-3</v>
      </c>
    </row>
    <row r="16" spans="1:4" s="493" customFormat="1" ht="16.2" thickBot="1">
      <c r="A16" s="561">
        <v>2</v>
      </c>
      <c r="B16" s="759">
        <v>3.2000000000000001E-2</v>
      </c>
      <c r="C16" s="560">
        <v>0.03</v>
      </c>
      <c r="D16" s="759">
        <v>0.01</v>
      </c>
    </row>
    <row r="17" spans="1:4" s="493" customFormat="1" ht="16.2" thickBot="1">
      <c r="A17" s="561">
        <v>3</v>
      </c>
      <c r="B17" s="759">
        <v>3.3000000000000002E-2</v>
      </c>
      <c r="C17" s="759">
        <v>3.2000000000000001E-2</v>
      </c>
      <c r="D17" s="759">
        <v>1.2E-2</v>
      </c>
    </row>
    <row r="18" spans="1:4" s="493" customFormat="1" ht="16.2" thickBot="1">
      <c r="A18" s="561">
        <v>4</v>
      </c>
      <c r="B18" s="759">
        <v>3.4000000000000002E-2</v>
      </c>
      <c r="C18" s="759">
        <v>3.4000000000000002E-2</v>
      </c>
      <c r="D18" s="759">
        <v>1.32E-2</v>
      </c>
    </row>
    <row r="19" spans="1:4" s="493" customFormat="1" ht="16.2" thickBot="1">
      <c r="A19" s="561">
        <v>5</v>
      </c>
      <c r="B19" s="759">
        <v>3.5000000000000003E-2</v>
      </c>
      <c r="C19" s="759">
        <v>3.5999999999999997E-2</v>
      </c>
      <c r="D19" s="759">
        <v>1.4500000000000001E-2</v>
      </c>
    </row>
    <row r="20" spans="1:4" s="493" customFormat="1" ht="16.2" thickBot="1">
      <c r="A20" s="561">
        <v>6</v>
      </c>
      <c r="B20" s="759">
        <v>3.5999999999999997E-2</v>
      </c>
      <c r="C20" s="759">
        <v>3.7999999999999999E-2</v>
      </c>
      <c r="D20" s="759">
        <v>1.6E-2</v>
      </c>
    </row>
    <row r="21" spans="1:4" s="493" customFormat="1" ht="16.2" thickBot="1">
      <c r="A21" s="561">
        <v>7</v>
      </c>
      <c r="B21" s="759">
        <v>3.6999999999999998E-2</v>
      </c>
      <c r="C21" s="759">
        <v>0.04</v>
      </c>
      <c r="D21" s="759">
        <v>1.7600000000000001E-2</v>
      </c>
    </row>
    <row r="22" spans="1:4" s="493" customFormat="1" ht="16.2" thickBot="1">
      <c r="A22" s="561">
        <v>8</v>
      </c>
      <c r="B22" s="759">
        <v>3.7999999999999999E-2</v>
      </c>
      <c r="C22" s="759">
        <v>4.2000000000000003E-2</v>
      </c>
      <c r="D22" s="759">
        <v>1.9300000000000001E-2</v>
      </c>
    </row>
    <row r="23" spans="1:4" s="493" customFormat="1" ht="16.2" thickBot="1">
      <c r="A23" s="561">
        <v>9</v>
      </c>
      <c r="B23" s="759">
        <v>3.9E-2</v>
      </c>
      <c r="C23" s="759">
        <v>4.3999999999999997E-2</v>
      </c>
      <c r="D23" s="759">
        <v>2.1299999999999999E-2</v>
      </c>
    </row>
    <row r="24" spans="1:4" s="493" customFormat="1" ht="16.2" thickBot="1">
      <c r="A24" s="561">
        <v>10</v>
      </c>
      <c r="B24" s="759">
        <v>0.04</v>
      </c>
      <c r="C24" s="759">
        <v>4.5999999999999999E-2</v>
      </c>
      <c r="D24" s="759">
        <v>2.3400000000000001E-2</v>
      </c>
    </row>
    <row r="25" spans="1:4" s="493" customFormat="1" ht="15.6">
      <c r="A25" s="494"/>
    </row>
    <row r="26" spans="1:4" s="493" customFormat="1" ht="15.6">
      <c r="A26" s="494" t="s">
        <v>1352</v>
      </c>
    </row>
    <row r="27" spans="1:4" s="493" customFormat="1" ht="15.6">
      <c r="A27" s="494"/>
    </row>
    <row r="28" spans="1:4" s="493" customFormat="1" ht="15.6">
      <c r="A28" s="536" t="s">
        <v>1351</v>
      </c>
    </row>
    <row r="29" spans="1:4" ht="15.6">
      <c r="A29" s="756" t="s">
        <v>24</v>
      </c>
    </row>
    <row r="30" spans="1:4" ht="15.6">
      <c r="A30" s="761"/>
    </row>
    <row r="31" spans="1:4" ht="15.6">
      <c r="A31" s="761"/>
    </row>
    <row r="32" spans="1:4" ht="15.6">
      <c r="A32" s="761"/>
    </row>
    <row r="33" spans="1:1" ht="15.6">
      <c r="A33" s="761"/>
    </row>
    <row r="34" spans="1:1" ht="15.6">
      <c r="A34" s="761"/>
    </row>
    <row r="35" spans="1:1" ht="15.6">
      <c r="A35" s="761"/>
    </row>
    <row r="36" spans="1:1" ht="15.6">
      <c r="A36" s="761"/>
    </row>
    <row r="37" spans="1:1" ht="15.6">
      <c r="A37" s="761"/>
    </row>
    <row r="38" spans="1:1" ht="15.6">
      <c r="A38" s="761"/>
    </row>
    <row r="39" spans="1:1" ht="15.6">
      <c r="A39" s="761"/>
    </row>
    <row r="40" spans="1:1" ht="15.6">
      <c r="A40" s="761"/>
    </row>
    <row r="41" spans="1:1" ht="15.6">
      <c r="A41" s="761"/>
    </row>
    <row r="42" spans="1:1" ht="15.6">
      <c r="A42" s="761"/>
    </row>
    <row r="43" spans="1:1" s="493" customFormat="1" ht="15.6">
      <c r="A43" s="536" t="s">
        <v>1350</v>
      </c>
    </row>
    <row r="44" spans="1:1" ht="15.6">
      <c r="A44" s="756" t="s">
        <v>24</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F6CB1-479B-4FBD-AC70-3C185A78DC87}">
  <sheetPr>
    <tabColor theme="5" tint="0.79998168889431442"/>
  </sheetPr>
  <dimension ref="B2:U37"/>
  <sheetViews>
    <sheetView zoomScaleNormal="100" workbookViewId="0">
      <selection activeCell="G12" sqref="G12"/>
    </sheetView>
  </sheetViews>
  <sheetFormatPr defaultColWidth="8.77734375" defaultRowHeight="13.2"/>
  <cols>
    <col min="1" max="1" width="4" style="803" customWidth="1"/>
    <col min="2" max="2" width="12.77734375" style="803" bestFit="1" customWidth="1"/>
    <col min="3" max="3" width="15.21875" style="803" customWidth="1"/>
    <col min="4" max="4" width="14" style="803" customWidth="1"/>
    <col min="5" max="5" width="13.44140625" style="803" customWidth="1"/>
    <col min="6" max="6" width="12.21875" style="803" customWidth="1"/>
    <col min="7" max="7" width="17.21875" style="803" customWidth="1"/>
    <col min="8" max="8" width="18.77734375" style="803" bestFit="1" customWidth="1"/>
    <col min="9" max="9" width="11.77734375" style="803" customWidth="1"/>
    <col min="10" max="10" width="10.21875" style="803" bestFit="1" customWidth="1"/>
    <col min="11" max="11" width="12.21875" style="803" bestFit="1" customWidth="1"/>
    <col min="12" max="12" width="10.21875" style="803" bestFit="1" customWidth="1"/>
    <col min="13" max="16384" width="8.77734375" style="803"/>
  </cols>
  <sheetData>
    <row r="2" spans="2:21">
      <c r="C2" s="819" t="s">
        <v>1440</v>
      </c>
      <c r="D2" s="819" t="s">
        <v>1440</v>
      </c>
      <c r="E2" s="803" t="s">
        <v>1012</v>
      </c>
    </row>
    <row r="3" spans="2:21" ht="14.4">
      <c r="B3" s="803" t="s">
        <v>374</v>
      </c>
      <c r="C3" s="803" t="s">
        <v>1438</v>
      </c>
      <c r="D3" s="818" t="s">
        <v>1439</v>
      </c>
      <c r="E3" s="803" t="s">
        <v>1438</v>
      </c>
      <c r="F3" s="818"/>
      <c r="J3" s="448"/>
      <c r="K3" s="448"/>
      <c r="L3" s="448"/>
      <c r="M3" s="448"/>
      <c r="N3" s="448"/>
      <c r="O3" s="448"/>
      <c r="P3" s="448"/>
      <c r="Q3" s="448"/>
      <c r="R3" s="448"/>
      <c r="S3" s="448"/>
      <c r="T3" s="448"/>
      <c r="U3" s="448"/>
    </row>
    <row r="4" spans="2:21" ht="14.4">
      <c r="B4" s="812">
        <v>1</v>
      </c>
      <c r="C4" s="817">
        <v>0.03</v>
      </c>
      <c r="E4" s="815">
        <v>1E-3</v>
      </c>
      <c r="F4" s="815"/>
      <c r="G4" s="803" t="s">
        <v>1437</v>
      </c>
      <c r="H4" s="816">
        <f>G19</f>
        <v>1000000</v>
      </c>
      <c r="J4" s="448"/>
      <c r="K4" s="448"/>
      <c r="L4" s="448"/>
      <c r="M4" s="448"/>
      <c r="N4" s="448"/>
      <c r="O4" s="448"/>
      <c r="P4" s="448"/>
      <c r="Q4" s="448"/>
      <c r="R4" s="448"/>
      <c r="S4" s="448"/>
      <c r="T4" s="448"/>
      <c r="U4" s="448"/>
    </row>
    <row r="5" spans="2:21" ht="14.4">
      <c r="B5" s="812">
        <f t="shared" ref="B5:B13" si="0">B4+1</f>
        <v>2</v>
      </c>
      <c r="C5" s="815">
        <v>3.2000000000000001E-2</v>
      </c>
      <c r="D5" s="817">
        <v>0.03</v>
      </c>
      <c r="E5" s="814">
        <v>0.01</v>
      </c>
      <c r="F5" s="815"/>
      <c r="G5" s="803" t="s">
        <v>1436</v>
      </c>
      <c r="H5" s="803">
        <v>10</v>
      </c>
      <c r="J5" s="448"/>
      <c r="K5" s="448"/>
      <c r="L5" s="448"/>
      <c r="M5" s="448"/>
      <c r="N5" s="448"/>
      <c r="O5" s="448"/>
      <c r="P5" s="448"/>
      <c r="Q5" s="448"/>
      <c r="R5" s="448"/>
      <c r="S5" s="448"/>
      <c r="T5" s="448"/>
      <c r="U5" s="448"/>
    </row>
    <row r="6" spans="2:21" ht="14.4">
      <c r="B6" s="812">
        <f t="shared" si="0"/>
        <v>3</v>
      </c>
      <c r="C6" s="815">
        <v>3.3000000000000002E-2</v>
      </c>
      <c r="D6" s="815">
        <f t="shared" ref="D6:D13" si="1">D5+0.002</f>
        <v>3.2000000000000001E-2</v>
      </c>
      <c r="E6" s="814">
        <v>1.2E-2</v>
      </c>
      <c r="F6" s="814"/>
      <c r="J6" s="448"/>
      <c r="K6" s="448"/>
      <c r="L6" s="448"/>
      <c r="M6" s="448"/>
      <c r="N6" s="448"/>
      <c r="O6" s="448"/>
      <c r="P6" s="448"/>
      <c r="Q6" s="448"/>
      <c r="R6" s="448"/>
      <c r="S6" s="448"/>
      <c r="T6" s="448"/>
      <c r="U6" s="448"/>
    </row>
    <row r="7" spans="2:21" ht="14.4">
      <c r="B7" s="812">
        <f t="shared" si="0"/>
        <v>4</v>
      </c>
      <c r="C7" s="815">
        <f t="shared" ref="C7:C13" si="2">C6+0.001</f>
        <v>3.4000000000000002E-2</v>
      </c>
      <c r="D7" s="815">
        <f t="shared" si="1"/>
        <v>3.4000000000000002E-2</v>
      </c>
      <c r="E7" s="814">
        <v>1.3200000000000002E-2</v>
      </c>
      <c r="F7" s="814"/>
      <c r="H7" s="816"/>
      <c r="J7" s="448"/>
      <c r="K7" s="448"/>
      <c r="L7" s="448"/>
      <c r="M7" s="448"/>
      <c r="N7" s="448"/>
      <c r="O7" s="448"/>
      <c r="P7" s="448"/>
      <c r="Q7" s="448"/>
      <c r="R7" s="448"/>
      <c r="S7" s="448"/>
      <c r="T7" s="448"/>
      <c r="U7" s="448"/>
    </row>
    <row r="8" spans="2:21" ht="14.4">
      <c r="B8" s="812">
        <f t="shared" si="0"/>
        <v>5</v>
      </c>
      <c r="C8" s="815">
        <f t="shared" si="2"/>
        <v>3.5000000000000003E-2</v>
      </c>
      <c r="D8" s="815">
        <f t="shared" si="1"/>
        <v>3.6000000000000004E-2</v>
      </c>
      <c r="E8" s="814">
        <v>1.4500000000000001E-2</v>
      </c>
      <c r="F8" s="814"/>
      <c r="H8" s="816"/>
      <c r="J8" s="448"/>
      <c r="K8" s="448"/>
      <c r="L8" s="448"/>
      <c r="M8" s="448"/>
      <c r="N8" s="448"/>
      <c r="O8" s="448"/>
      <c r="P8" s="448"/>
      <c r="Q8" s="448"/>
      <c r="R8" s="448"/>
      <c r="S8" s="448"/>
      <c r="T8" s="448"/>
      <c r="U8" s="448"/>
    </row>
    <row r="9" spans="2:21" ht="14.4">
      <c r="B9" s="812">
        <f t="shared" si="0"/>
        <v>6</v>
      </c>
      <c r="C9" s="815">
        <f t="shared" si="2"/>
        <v>3.6000000000000004E-2</v>
      </c>
      <c r="D9" s="815">
        <f t="shared" si="1"/>
        <v>3.8000000000000006E-2</v>
      </c>
      <c r="E9" s="814">
        <v>1.6E-2</v>
      </c>
      <c r="F9" s="814"/>
      <c r="J9" s="448"/>
      <c r="K9" s="448"/>
      <c r="L9" s="448"/>
      <c r="M9" s="448"/>
      <c r="N9" s="448"/>
      <c r="O9" s="448"/>
      <c r="P9" s="448"/>
      <c r="Q9" s="448"/>
      <c r="R9" s="448"/>
      <c r="S9" s="448"/>
      <c r="T9" s="448"/>
      <c r="U9" s="448"/>
    </row>
    <row r="10" spans="2:21" ht="14.4">
      <c r="B10" s="812">
        <f t="shared" si="0"/>
        <v>7</v>
      </c>
      <c r="C10" s="815">
        <f t="shared" si="2"/>
        <v>3.7000000000000005E-2</v>
      </c>
      <c r="D10" s="815">
        <f t="shared" si="1"/>
        <v>4.0000000000000008E-2</v>
      </c>
      <c r="E10" s="814">
        <v>1.7600000000000001E-2</v>
      </c>
      <c r="F10" s="814"/>
      <c r="J10" s="448"/>
      <c r="K10" s="448"/>
      <c r="L10" s="448"/>
      <c r="M10" s="448"/>
      <c r="N10" s="448"/>
      <c r="O10" s="448"/>
      <c r="P10" s="448"/>
      <c r="Q10" s="448"/>
      <c r="R10" s="448"/>
      <c r="S10" s="448"/>
      <c r="T10" s="448"/>
      <c r="U10" s="448"/>
    </row>
    <row r="11" spans="2:21" ht="14.4">
      <c r="B11" s="812">
        <f t="shared" si="0"/>
        <v>8</v>
      </c>
      <c r="C11" s="815">
        <f t="shared" si="2"/>
        <v>3.8000000000000006E-2</v>
      </c>
      <c r="D11" s="815">
        <f t="shared" si="1"/>
        <v>4.200000000000001E-2</v>
      </c>
      <c r="E11" s="814">
        <v>1.9300000000000001E-2</v>
      </c>
      <c r="F11" s="814"/>
      <c r="J11" s="448"/>
      <c r="K11" s="448"/>
      <c r="L11" s="448"/>
      <c r="M11" s="448"/>
      <c r="N11" s="448"/>
      <c r="O11" s="448"/>
      <c r="P11" s="448"/>
      <c r="Q11" s="448"/>
      <c r="R11" s="448"/>
      <c r="S11" s="448"/>
      <c r="T11" s="448"/>
      <c r="U11" s="448"/>
    </row>
    <row r="12" spans="2:21" ht="14.4">
      <c r="B12" s="812">
        <f t="shared" si="0"/>
        <v>9</v>
      </c>
      <c r="C12" s="815">
        <f t="shared" si="2"/>
        <v>3.9000000000000007E-2</v>
      </c>
      <c r="D12" s="815">
        <f t="shared" si="1"/>
        <v>4.4000000000000011E-2</v>
      </c>
      <c r="E12" s="814">
        <v>2.1299999999999999E-2</v>
      </c>
      <c r="F12" s="814"/>
      <c r="J12" s="448"/>
      <c r="K12" s="448"/>
      <c r="L12" s="448"/>
      <c r="M12" s="448"/>
      <c r="N12" s="448"/>
      <c r="O12" s="448"/>
      <c r="P12" s="448"/>
      <c r="Q12" s="448"/>
      <c r="R12" s="448"/>
      <c r="S12" s="448"/>
      <c r="T12" s="448"/>
      <c r="U12" s="448"/>
    </row>
    <row r="13" spans="2:21" ht="14.4">
      <c r="B13" s="812">
        <f t="shared" si="0"/>
        <v>10</v>
      </c>
      <c r="C13" s="815">
        <f t="shared" si="2"/>
        <v>4.0000000000000008E-2</v>
      </c>
      <c r="D13" s="815">
        <f t="shared" si="1"/>
        <v>4.6000000000000013E-2</v>
      </c>
      <c r="E13" s="814">
        <v>2.3400000000000001E-2</v>
      </c>
      <c r="F13" s="814"/>
      <c r="J13" s="448"/>
      <c r="K13" s="448"/>
      <c r="L13" s="448"/>
      <c r="M13" s="448"/>
      <c r="N13" s="448"/>
      <c r="O13" s="448"/>
      <c r="P13" s="448"/>
      <c r="Q13" s="448"/>
      <c r="R13" s="448"/>
      <c r="S13" s="448"/>
      <c r="T13" s="448"/>
      <c r="U13" s="448"/>
    </row>
    <row r="14" spans="2:21" ht="14.4">
      <c r="B14" s="812"/>
      <c r="J14" s="448"/>
      <c r="K14" s="448"/>
      <c r="L14" s="448"/>
      <c r="M14" s="448"/>
      <c r="N14" s="448"/>
      <c r="O14" s="448"/>
      <c r="P14" s="448"/>
      <c r="Q14" s="448"/>
      <c r="R14" s="448"/>
      <c r="S14" s="448"/>
      <c r="T14" s="448"/>
      <c r="U14" s="448"/>
    </row>
    <row r="15" spans="2:21" ht="14.4">
      <c r="B15" s="812"/>
      <c r="G15" s="803" t="s">
        <v>1435</v>
      </c>
      <c r="H15" s="803" t="s">
        <v>1434</v>
      </c>
      <c r="I15" s="803" t="s">
        <v>1433</v>
      </c>
      <c r="J15" s="448"/>
      <c r="K15" s="448"/>
      <c r="L15" s="448"/>
      <c r="M15" s="448"/>
      <c r="N15" s="448"/>
      <c r="O15" s="448"/>
      <c r="P15" s="448"/>
      <c r="Q15" s="448"/>
      <c r="R15" s="448"/>
      <c r="S15" s="448"/>
      <c r="T15" s="448"/>
      <c r="U15" s="448"/>
    </row>
    <row r="16" spans="2:21" ht="14.4">
      <c r="B16" s="813" t="s">
        <v>931</v>
      </c>
      <c r="F16" s="1111" t="s">
        <v>1432</v>
      </c>
      <c r="G16" s="1111"/>
      <c r="H16" s="1111"/>
      <c r="I16" s="1111"/>
      <c r="J16" s="448"/>
      <c r="K16" s="448"/>
      <c r="L16" s="448"/>
      <c r="M16" s="448"/>
      <c r="N16" s="448"/>
      <c r="O16" s="448"/>
      <c r="P16" s="448"/>
      <c r="Q16" s="448"/>
      <c r="R16" s="448"/>
      <c r="S16" s="448"/>
      <c r="T16" s="448"/>
      <c r="U16" s="448"/>
    </row>
    <row r="17" spans="2:21" ht="14.4">
      <c r="B17" s="812"/>
      <c r="C17" s="803" t="s">
        <v>1431</v>
      </c>
      <c r="D17" s="803" t="s">
        <v>1430</v>
      </c>
      <c r="F17" s="805"/>
      <c r="G17" s="805" t="s">
        <v>1429</v>
      </c>
      <c r="H17" s="805"/>
      <c r="I17" s="805" t="s">
        <v>1429</v>
      </c>
      <c r="J17" s="448"/>
      <c r="K17" s="448"/>
      <c r="L17" s="448"/>
      <c r="M17" s="448"/>
      <c r="N17" s="448"/>
      <c r="O17" s="448"/>
      <c r="P17" s="448"/>
      <c r="Q17" s="448"/>
      <c r="R17" s="448"/>
      <c r="S17" s="448"/>
      <c r="T17" s="448"/>
      <c r="U17" s="448"/>
    </row>
    <row r="18" spans="2:21" ht="14.4">
      <c r="B18" s="812" t="s">
        <v>1334</v>
      </c>
      <c r="C18" s="803" t="s">
        <v>1428</v>
      </c>
      <c r="D18" s="803" t="s">
        <v>1428</v>
      </c>
      <c r="E18" s="803" t="s">
        <v>1427</v>
      </c>
      <c r="F18" s="805" t="s">
        <v>1288</v>
      </c>
      <c r="G18" s="805" t="s">
        <v>230</v>
      </c>
      <c r="H18" s="805" t="s">
        <v>199</v>
      </c>
      <c r="I18" s="805" t="s">
        <v>1371</v>
      </c>
      <c r="J18" s="448"/>
      <c r="K18" s="448"/>
      <c r="L18" s="448"/>
      <c r="M18" s="448"/>
      <c r="N18" s="448"/>
      <c r="O18" s="448"/>
      <c r="P18" s="448"/>
      <c r="Q18" s="448"/>
      <c r="R18" s="448"/>
      <c r="S18" s="448"/>
      <c r="T18" s="448"/>
      <c r="U18" s="448"/>
    </row>
    <row r="19" spans="2:21" ht="14.4">
      <c r="B19" s="812">
        <v>0</v>
      </c>
      <c r="C19" s="803">
        <v>1</v>
      </c>
      <c r="F19" s="811">
        <v>1</v>
      </c>
      <c r="G19" s="804">
        <v>1000000</v>
      </c>
      <c r="H19" s="805"/>
      <c r="I19" s="805"/>
      <c r="J19" s="448"/>
      <c r="K19" s="448"/>
      <c r="L19" s="448"/>
      <c r="M19" s="448"/>
      <c r="N19" s="448"/>
      <c r="O19" s="448"/>
      <c r="P19" s="448"/>
      <c r="Q19" s="448"/>
      <c r="R19" s="448"/>
      <c r="S19" s="448"/>
      <c r="T19" s="448"/>
      <c r="U19" s="448"/>
    </row>
    <row r="20" spans="2:21" ht="14.4">
      <c r="B20" s="812">
        <v>1</v>
      </c>
      <c r="C20" s="809">
        <f t="shared" ref="C20:C29" si="3">(1+C4)^(-B4)</f>
        <v>0.970873786407767</v>
      </c>
      <c r="D20" s="803">
        <v>1</v>
      </c>
      <c r="E20" s="803">
        <v>1</v>
      </c>
      <c r="F20" s="811">
        <f>1-E4</f>
        <v>0.999</v>
      </c>
      <c r="G20" s="804">
        <f t="shared" ref="G20:G28" si="4">$G$19*F20</f>
        <v>999000</v>
      </c>
      <c r="H20" s="804">
        <f t="shared" ref="H20:H29" si="5">$H$5*G19/1000</f>
        <v>10000</v>
      </c>
      <c r="I20" s="804">
        <f t="shared" ref="I20:I29" si="6">G19*E4</f>
        <v>1000</v>
      </c>
      <c r="J20" s="448"/>
      <c r="K20" s="448"/>
      <c r="L20" s="448"/>
      <c r="M20" s="448"/>
      <c r="N20" s="448"/>
      <c r="O20" s="448"/>
      <c r="P20" s="448"/>
      <c r="Q20" s="448"/>
      <c r="R20" s="448"/>
      <c r="S20" s="448"/>
      <c r="T20" s="448"/>
      <c r="U20" s="448"/>
    </row>
    <row r="21" spans="2:21" ht="14.4">
      <c r="B21" s="812">
        <f t="shared" ref="B21:B29" si="7">B20+1</f>
        <v>2</v>
      </c>
      <c r="C21" s="809">
        <f t="shared" si="3"/>
        <v>0.9389459768042786</v>
      </c>
      <c r="D21" s="810">
        <f t="shared" ref="D21:D29" si="8">(1+C5)^(-(B21-1))</f>
        <v>0.96899224806201545</v>
      </c>
      <c r="E21" s="809">
        <f t="shared" ref="E21:E29" si="9">(1+D5)^(-(B21-1))</f>
        <v>0.970873786407767</v>
      </c>
      <c r="F21" s="811">
        <f t="shared" ref="F21:F29" si="10">F20*(1-E5)</f>
        <v>0.98900999999999994</v>
      </c>
      <c r="G21" s="804">
        <f t="shared" si="4"/>
        <v>989010</v>
      </c>
      <c r="H21" s="804">
        <f t="shared" si="5"/>
        <v>9990</v>
      </c>
      <c r="I21" s="804">
        <f t="shared" si="6"/>
        <v>9990</v>
      </c>
      <c r="J21" s="448"/>
      <c r="K21" s="448"/>
      <c r="L21" s="448"/>
      <c r="M21" s="448"/>
      <c r="N21" s="448"/>
      <c r="O21" s="448"/>
      <c r="P21" s="448"/>
      <c r="Q21" s="448"/>
      <c r="R21" s="448"/>
      <c r="S21" s="448"/>
      <c r="T21" s="448"/>
      <c r="U21" s="448"/>
    </row>
    <row r="22" spans="2:21" ht="14.4">
      <c r="B22" s="812">
        <f t="shared" si="7"/>
        <v>3</v>
      </c>
      <c r="C22" s="809">
        <f t="shared" si="3"/>
        <v>0.90719163165941952</v>
      </c>
      <c r="D22" s="810">
        <f t="shared" si="8"/>
        <v>0.93712895550418029</v>
      </c>
      <c r="E22" s="809">
        <f t="shared" si="9"/>
        <v>0.9389459768042786</v>
      </c>
      <c r="F22" s="811">
        <f t="shared" si="10"/>
        <v>0.97714187999999991</v>
      </c>
      <c r="G22" s="804">
        <f t="shared" si="4"/>
        <v>977141.87999999989</v>
      </c>
      <c r="H22" s="804">
        <f t="shared" si="5"/>
        <v>9890.1</v>
      </c>
      <c r="I22" s="804">
        <f t="shared" si="6"/>
        <v>11868.12</v>
      </c>
      <c r="J22" s="448"/>
      <c r="K22" s="448"/>
      <c r="L22" s="448"/>
      <c r="M22" s="448"/>
      <c r="N22" s="448"/>
      <c r="O22" s="448"/>
      <c r="P22" s="448"/>
      <c r="Q22" s="448"/>
      <c r="R22" s="448"/>
      <c r="S22" s="448"/>
      <c r="T22" s="448"/>
      <c r="U22" s="448"/>
    </row>
    <row r="23" spans="2:21" ht="14.4">
      <c r="B23" s="812">
        <f t="shared" si="7"/>
        <v>4</v>
      </c>
      <c r="C23" s="809">
        <f t="shared" si="3"/>
        <v>0.87481827111888921</v>
      </c>
      <c r="D23" s="810">
        <f t="shared" si="8"/>
        <v>0.9045620923369313</v>
      </c>
      <c r="E23" s="809">
        <f t="shared" si="9"/>
        <v>0.9045620923369313</v>
      </c>
      <c r="F23" s="811">
        <f t="shared" si="10"/>
        <v>0.96424360718399993</v>
      </c>
      <c r="G23" s="804">
        <f t="shared" si="4"/>
        <v>964243.60718399996</v>
      </c>
      <c r="H23" s="804">
        <f t="shared" si="5"/>
        <v>9771.4187999999995</v>
      </c>
      <c r="I23" s="804">
        <f t="shared" si="6"/>
        <v>12898.272816000001</v>
      </c>
      <c r="J23" s="448"/>
      <c r="K23" s="448"/>
      <c r="L23" s="448"/>
      <c r="M23" s="448"/>
      <c r="N23" s="448"/>
      <c r="O23" s="448"/>
      <c r="P23" s="448"/>
      <c r="Q23" s="448"/>
      <c r="R23" s="448"/>
      <c r="S23" s="448"/>
      <c r="T23" s="448"/>
      <c r="U23" s="448"/>
    </row>
    <row r="24" spans="2:21" ht="14.4">
      <c r="B24" s="812">
        <f t="shared" si="7"/>
        <v>5</v>
      </c>
      <c r="C24" s="809">
        <f t="shared" si="3"/>
        <v>0.84197316685852419</v>
      </c>
      <c r="D24" s="810">
        <f t="shared" si="8"/>
        <v>0.87144222769857238</v>
      </c>
      <c r="E24" s="809">
        <f t="shared" si="9"/>
        <v>0.8680824543443002</v>
      </c>
      <c r="F24" s="811">
        <f t="shared" si="10"/>
        <v>0.95026207487983194</v>
      </c>
      <c r="G24" s="804">
        <f t="shared" si="4"/>
        <v>950262.07487983198</v>
      </c>
      <c r="H24" s="804">
        <f t="shared" si="5"/>
        <v>9642.4360718400003</v>
      </c>
      <c r="I24" s="804">
        <f t="shared" si="6"/>
        <v>13981.532304168</v>
      </c>
      <c r="J24" s="448"/>
      <c r="K24" s="448"/>
      <c r="L24" s="448"/>
      <c r="M24" s="448"/>
      <c r="N24" s="448"/>
      <c r="O24" s="448"/>
      <c r="P24" s="448"/>
      <c r="Q24" s="448"/>
      <c r="R24" s="448"/>
      <c r="S24" s="448"/>
      <c r="T24" s="448"/>
      <c r="U24" s="448"/>
    </row>
    <row r="25" spans="2:21" ht="14.4">
      <c r="B25" s="812">
        <f t="shared" si="7"/>
        <v>6</v>
      </c>
      <c r="C25" s="809">
        <f t="shared" si="3"/>
        <v>0.80880060518654706</v>
      </c>
      <c r="D25" s="810">
        <f t="shared" si="8"/>
        <v>0.83791742697326266</v>
      </c>
      <c r="E25" s="809">
        <f t="shared" si="9"/>
        <v>0.8298760524683324</v>
      </c>
      <c r="F25" s="811">
        <f t="shared" si="10"/>
        <v>0.93505788168175463</v>
      </c>
      <c r="G25" s="804">
        <f t="shared" si="4"/>
        <v>935057.8816817546</v>
      </c>
      <c r="H25" s="804">
        <f t="shared" si="5"/>
        <v>9502.6207487983193</v>
      </c>
      <c r="I25" s="804">
        <f t="shared" si="6"/>
        <v>15204.193198077312</v>
      </c>
      <c r="J25" s="448"/>
      <c r="K25" s="448"/>
      <c r="L25" s="448"/>
      <c r="M25" s="448"/>
      <c r="N25" s="448"/>
      <c r="O25" s="448"/>
      <c r="P25" s="448"/>
      <c r="Q25" s="448"/>
      <c r="R25" s="448"/>
      <c r="S25" s="448"/>
      <c r="T25" s="448"/>
      <c r="U25" s="448"/>
    </row>
    <row r="26" spans="2:21" ht="14.4">
      <c r="B26" s="812">
        <f t="shared" si="7"/>
        <v>7</v>
      </c>
      <c r="C26" s="809">
        <f t="shared" si="3"/>
        <v>0.77544090266390553</v>
      </c>
      <c r="D26" s="810">
        <f t="shared" si="8"/>
        <v>0.8041322160624701</v>
      </c>
      <c r="E26" s="809">
        <f t="shared" si="9"/>
        <v>0.79031452573014571</v>
      </c>
      <c r="F26" s="811">
        <f t="shared" si="10"/>
        <v>0.91860086296415577</v>
      </c>
      <c r="G26" s="804">
        <f t="shared" si="4"/>
        <v>918600.86296415573</v>
      </c>
      <c r="H26" s="804">
        <f t="shared" si="5"/>
        <v>9350.5788168175459</v>
      </c>
      <c r="I26" s="804">
        <f t="shared" si="6"/>
        <v>16457.018717598883</v>
      </c>
      <c r="J26" s="448"/>
      <c r="K26" s="448"/>
      <c r="L26" s="448"/>
      <c r="M26" s="448"/>
      <c r="N26" s="448"/>
      <c r="O26" s="448"/>
      <c r="P26" s="448"/>
      <c r="Q26" s="448"/>
      <c r="R26" s="448"/>
      <c r="S26" s="448"/>
      <c r="T26" s="448"/>
      <c r="U26" s="448"/>
    </row>
    <row r="27" spans="2:21" ht="14.4">
      <c r="B27" s="812">
        <f t="shared" si="7"/>
        <v>8</v>
      </c>
      <c r="C27" s="809">
        <f t="shared" si="3"/>
        <v>0.74202950092240738</v>
      </c>
      <c r="D27" s="810">
        <f t="shared" si="8"/>
        <v>0.77022662195745883</v>
      </c>
      <c r="E27" s="809">
        <f t="shared" si="9"/>
        <v>0.74976638824069186</v>
      </c>
      <c r="F27" s="811">
        <f t="shared" si="10"/>
        <v>0.90087186630894756</v>
      </c>
      <c r="G27" s="804">
        <f t="shared" si="4"/>
        <v>900871.86630894756</v>
      </c>
      <c r="H27" s="804">
        <f t="shared" si="5"/>
        <v>9186.0086296415575</v>
      </c>
      <c r="I27" s="804">
        <f t="shared" si="6"/>
        <v>17728.996655208208</v>
      </c>
      <c r="J27" s="448"/>
      <c r="K27" s="448"/>
      <c r="L27" s="448"/>
      <c r="M27" s="448"/>
      <c r="N27" s="448"/>
      <c r="O27" s="448"/>
      <c r="P27" s="448"/>
      <c r="Q27" s="448"/>
      <c r="R27" s="448"/>
      <c r="S27" s="448"/>
      <c r="T27" s="448"/>
      <c r="U27" s="448"/>
    </row>
    <row r="28" spans="2:21" ht="14.4">
      <c r="B28" s="812">
        <f t="shared" si="7"/>
        <v>9</v>
      </c>
      <c r="C28" s="809">
        <f t="shared" si="3"/>
        <v>0.70869614759672639</v>
      </c>
      <c r="D28" s="810">
        <f t="shared" si="8"/>
        <v>0.73633529735299863</v>
      </c>
      <c r="E28" s="809">
        <f t="shared" si="9"/>
        <v>0.70859161792606684</v>
      </c>
      <c r="F28" s="811">
        <f t="shared" si="10"/>
        <v>0.88168329555656699</v>
      </c>
      <c r="G28" s="804">
        <f t="shared" si="4"/>
        <v>881683.29555656703</v>
      </c>
      <c r="H28" s="804">
        <f t="shared" si="5"/>
        <v>9008.7186630894757</v>
      </c>
      <c r="I28" s="804">
        <f t="shared" si="6"/>
        <v>19188.570752380583</v>
      </c>
      <c r="J28" s="448"/>
      <c r="K28" s="448"/>
      <c r="L28" s="448"/>
      <c r="M28" s="448"/>
      <c r="N28" s="448"/>
      <c r="O28" s="448"/>
      <c r="P28" s="448"/>
      <c r="Q28" s="448"/>
      <c r="R28" s="448"/>
      <c r="S28" s="448"/>
      <c r="T28" s="448"/>
      <c r="U28" s="448"/>
    </row>
    <row r="29" spans="2:21" ht="14.4">
      <c r="B29" s="812">
        <f t="shared" si="7"/>
        <v>10</v>
      </c>
      <c r="C29" s="809">
        <f t="shared" si="3"/>
        <v>0.67556416882579851</v>
      </c>
      <c r="D29" s="810">
        <f t="shared" si="8"/>
        <v>0.70258673557883045</v>
      </c>
      <c r="E29" s="809">
        <f t="shared" si="9"/>
        <v>0.66713671051045254</v>
      </c>
      <c r="F29" s="811">
        <f t="shared" si="10"/>
        <v>0.8610519064405433</v>
      </c>
      <c r="G29" s="804"/>
      <c r="H29" s="804">
        <f t="shared" si="5"/>
        <v>8816.832955565671</v>
      </c>
      <c r="I29" s="804">
        <f t="shared" si="6"/>
        <v>20631.389116023671</v>
      </c>
      <c r="J29" s="448"/>
      <c r="K29" s="448"/>
      <c r="L29" s="448"/>
      <c r="M29" s="448"/>
      <c r="N29" s="448"/>
      <c r="O29" s="448"/>
      <c r="P29" s="448"/>
      <c r="Q29" s="448"/>
      <c r="R29" s="448"/>
      <c r="S29" s="448"/>
      <c r="T29" s="448"/>
      <c r="U29" s="448"/>
    </row>
    <row r="30" spans="2:21" ht="14.4">
      <c r="C30" s="809"/>
      <c r="D30" s="810"/>
      <c r="E30" s="809"/>
      <c r="J30" s="448"/>
      <c r="K30" s="448"/>
      <c r="L30" s="448"/>
      <c r="M30" s="448"/>
      <c r="N30" s="448"/>
      <c r="O30" s="448"/>
      <c r="P30" s="448"/>
      <c r="Q30" s="448"/>
      <c r="R30" s="448"/>
      <c r="S30" s="448"/>
      <c r="T30" s="448"/>
      <c r="U30" s="448"/>
    </row>
    <row r="31" spans="2:21" ht="14.4">
      <c r="C31" s="805"/>
      <c r="D31" s="805" t="s">
        <v>1428</v>
      </c>
      <c r="E31" s="805" t="s">
        <v>1427</v>
      </c>
      <c r="J31" s="448"/>
      <c r="K31" s="448"/>
      <c r="L31" s="448"/>
      <c r="M31" s="448"/>
      <c r="N31" s="448"/>
      <c r="O31" s="448"/>
      <c r="P31" s="448"/>
      <c r="Q31" s="448"/>
      <c r="R31" s="448"/>
      <c r="S31" s="448"/>
      <c r="T31" s="448"/>
      <c r="U31" s="448"/>
    </row>
    <row r="32" spans="2:21" ht="14.4">
      <c r="C32" s="805" t="s">
        <v>1426</v>
      </c>
      <c r="D32" s="808">
        <v>44927</v>
      </c>
      <c r="E32" s="808">
        <v>44927</v>
      </c>
      <c r="J32" s="448"/>
      <c r="K32" s="448"/>
      <c r="L32" s="448"/>
      <c r="M32" s="448"/>
      <c r="N32" s="448"/>
      <c r="O32" s="448"/>
      <c r="P32" s="448"/>
      <c r="Q32" s="448"/>
      <c r="R32" s="448"/>
      <c r="S32" s="448"/>
      <c r="T32" s="448"/>
      <c r="U32" s="448"/>
    </row>
    <row r="33" spans="2:21" ht="14.4">
      <c r="B33" s="803" t="s">
        <v>1425</v>
      </c>
      <c r="C33" s="807">
        <f>SUMPRODUCT(H20:H29,$C$19:$C$28)</f>
        <v>81905.330227937971</v>
      </c>
      <c r="D33" s="807">
        <f>SUMPRODUCT(H21:H29,D20:D28)</f>
        <v>74386.355548177991</v>
      </c>
      <c r="E33" s="807">
        <f>SUMPRODUCT(H21:H29,E20:E28)</f>
        <v>73759.739569521742</v>
      </c>
      <c r="F33" s="803" t="s">
        <v>1424</v>
      </c>
      <c r="J33" s="448"/>
      <c r="K33" s="448"/>
      <c r="L33" s="448"/>
      <c r="M33" s="448"/>
      <c r="N33" s="448"/>
      <c r="O33" s="448"/>
      <c r="P33" s="448"/>
      <c r="Q33" s="448"/>
      <c r="R33" s="448"/>
      <c r="S33" s="448"/>
      <c r="T33" s="448"/>
      <c r="U33" s="448"/>
    </row>
    <row r="34" spans="2:21" ht="14.4">
      <c r="B34" s="803" t="s">
        <v>1423</v>
      </c>
      <c r="C34" s="804">
        <f>SUMPRODUCT(I20:I29,$C$20:$C$29)</f>
        <v>109924.06105861673</v>
      </c>
      <c r="D34" s="804">
        <f>SUMPRODUCT(I21:I29,D21:D29)</f>
        <v>112906.96262084969</v>
      </c>
      <c r="E34" s="804">
        <f>SUMPRODUCT(I21:I29,E21:E29)</f>
        <v>110924.20420398146</v>
      </c>
      <c r="J34" s="448"/>
      <c r="K34" s="448"/>
      <c r="L34" s="448"/>
      <c r="M34" s="448"/>
      <c r="N34" s="448"/>
      <c r="O34" s="448"/>
      <c r="P34" s="448"/>
      <c r="Q34" s="448"/>
      <c r="R34" s="448"/>
      <c r="S34" s="448"/>
      <c r="T34" s="448"/>
      <c r="U34" s="448"/>
    </row>
    <row r="35" spans="2:21" ht="14.4">
      <c r="B35" s="803" t="s">
        <v>162</v>
      </c>
      <c r="C35" s="806">
        <f>MIN(C34/C33,1)</f>
        <v>1</v>
      </c>
      <c r="D35" s="805"/>
      <c r="E35" s="805"/>
      <c r="J35" s="448"/>
      <c r="K35" s="448"/>
      <c r="L35" s="448"/>
      <c r="M35" s="448"/>
      <c r="N35" s="448"/>
      <c r="O35" s="448"/>
      <c r="P35" s="448"/>
      <c r="Q35" s="448"/>
      <c r="R35" s="448"/>
      <c r="S35" s="448"/>
      <c r="T35" s="448"/>
      <c r="U35" s="448"/>
    </row>
    <row r="36" spans="2:21" ht="14.4">
      <c r="B36" s="803" t="s">
        <v>1422</v>
      </c>
      <c r="C36" s="805"/>
      <c r="D36" s="804">
        <f>D34-C35*D33</f>
        <v>38520.607072671701</v>
      </c>
      <c r="E36" s="804">
        <f>E34-C35*E33</f>
        <v>37164.464634459713</v>
      </c>
      <c r="J36" s="448"/>
      <c r="K36" s="448"/>
      <c r="L36" s="448"/>
      <c r="M36" s="448"/>
      <c r="N36" s="448"/>
      <c r="O36" s="448"/>
      <c r="P36" s="448"/>
      <c r="Q36" s="448"/>
      <c r="R36" s="448"/>
      <c r="S36" s="448"/>
      <c r="T36" s="448"/>
      <c r="U36" s="448"/>
    </row>
    <row r="37" spans="2:21" ht="14.4">
      <c r="B37" s="803" t="s">
        <v>952</v>
      </c>
      <c r="C37" s="805"/>
      <c r="D37" s="804">
        <f>D36-E36</f>
        <v>1356.1424382119876</v>
      </c>
      <c r="E37" s="804"/>
      <c r="J37" s="448"/>
      <c r="K37" s="448"/>
      <c r="L37" s="448"/>
      <c r="M37" s="448"/>
      <c r="N37" s="448"/>
      <c r="O37" s="448"/>
      <c r="P37" s="448"/>
      <c r="Q37" s="448"/>
      <c r="R37" s="448"/>
      <c r="S37" s="448"/>
      <c r="T37" s="448"/>
      <c r="U37" s="448"/>
    </row>
  </sheetData>
  <mergeCells count="1">
    <mergeCell ref="F16:I16"/>
  </mergeCells>
  <pageMargins left="0.7" right="0.7" top="0.75" bottom="0.75" header="0.3" footer="0.3"/>
  <pageSetup orientation="portrait" horizontalDpi="90" verticalDpi="90" r:id="rId1"/>
  <headerFooter>
    <oddFooter>&amp;C_x000D_&amp;1#&amp;"Calibri"&amp;10&amp;K000000 CONFIDENTIAL</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0E0A0-B54A-451E-84A3-03473E0F6AE7}">
  <dimension ref="A1:H39"/>
  <sheetViews>
    <sheetView workbookViewId="0">
      <selection activeCell="B8" sqref="B8:D8"/>
    </sheetView>
  </sheetViews>
  <sheetFormatPr defaultColWidth="9.21875" defaultRowHeight="14.4"/>
  <cols>
    <col min="1" max="1" width="30.44140625" style="448" customWidth="1"/>
    <col min="2" max="2" width="9.21875" style="448"/>
    <col min="3" max="3" width="13.44140625" style="448" customWidth="1"/>
    <col min="4" max="4" width="15" style="448" customWidth="1"/>
    <col min="5" max="16384" width="9.21875" style="448"/>
  </cols>
  <sheetData>
    <row r="1" spans="1:8" s="493" customFormat="1" ht="17.399999999999999">
      <c r="A1" s="523" t="s">
        <v>72</v>
      </c>
    </row>
    <row r="2" spans="1:8" s="493" customFormat="1" ht="15.6">
      <c r="A2" s="522" t="s">
        <v>336</v>
      </c>
    </row>
    <row r="3" spans="1:8" s="493" customFormat="1" ht="15.6">
      <c r="A3" s="522" t="s">
        <v>388</v>
      </c>
    </row>
    <row r="4" spans="1:8" s="493" customFormat="1"/>
    <row r="5" spans="1:8" s="493" customFormat="1"/>
    <row r="6" spans="1:8" s="493" customFormat="1" ht="15.6">
      <c r="A6" s="494" t="s">
        <v>1379</v>
      </c>
    </row>
    <row r="7" spans="1:8" s="493" customFormat="1" ht="16.2" thickBot="1">
      <c r="A7" s="494"/>
    </row>
    <row r="8" spans="1:8" s="493" customFormat="1" ht="15" customHeight="1" thickBot="1">
      <c r="A8" s="791" t="s">
        <v>229</v>
      </c>
      <c r="B8" s="1118">
        <v>43281</v>
      </c>
      <c r="C8" s="1119"/>
      <c r="D8" s="1120"/>
    </row>
    <row r="9" spans="1:8" s="493" customFormat="1" ht="15" customHeight="1" thickBot="1">
      <c r="A9" s="779" t="s">
        <v>1378</v>
      </c>
      <c r="B9" s="1118">
        <v>44012</v>
      </c>
      <c r="C9" s="1119"/>
      <c r="D9" s="1120"/>
    </row>
    <row r="10" spans="1:8" s="493" customFormat="1" ht="15" customHeight="1" thickBot="1">
      <c r="A10" s="779" t="s">
        <v>884</v>
      </c>
      <c r="B10" s="1112">
        <v>50</v>
      </c>
      <c r="C10" s="1113"/>
      <c r="D10" s="1114"/>
    </row>
    <row r="11" spans="1:8" s="493" customFormat="1" ht="15" customHeight="1" thickBot="1">
      <c r="A11" s="779" t="s">
        <v>1377</v>
      </c>
      <c r="B11" s="1112" t="s">
        <v>1376</v>
      </c>
      <c r="C11" s="1113"/>
      <c r="D11" s="1114"/>
    </row>
    <row r="12" spans="1:8" s="493" customFormat="1" ht="15" customHeight="1" thickBot="1">
      <c r="A12" s="779" t="s">
        <v>1375</v>
      </c>
      <c r="B12" s="1121">
        <v>2.5000000000000001E-2</v>
      </c>
      <c r="C12" s="1122"/>
      <c r="D12" s="1123"/>
    </row>
    <row r="13" spans="1:8" s="493" customFormat="1" ht="15" customHeight="1" thickBot="1">
      <c r="A13" s="779" t="s">
        <v>1374</v>
      </c>
      <c r="B13" s="1124">
        <v>115000</v>
      </c>
      <c r="C13" s="1125"/>
      <c r="D13" s="1126"/>
      <c r="H13" s="790"/>
    </row>
    <row r="14" spans="1:8" s="493" customFormat="1" ht="35.549999999999997" customHeight="1" thickBot="1">
      <c r="A14" s="779" t="s">
        <v>1373</v>
      </c>
      <c r="B14" s="1121">
        <v>0.05</v>
      </c>
      <c r="C14" s="1122"/>
      <c r="D14" s="1123"/>
    </row>
    <row r="15" spans="1:8" s="493" customFormat="1" ht="22.5" customHeight="1">
      <c r="A15" s="1115" t="s">
        <v>1372</v>
      </c>
      <c r="B15" s="1127">
        <v>0.04</v>
      </c>
      <c r="C15" s="1128"/>
      <c r="D15" s="1129"/>
    </row>
    <row r="16" spans="1:8" s="493" customFormat="1" ht="15" thickBot="1">
      <c r="A16" s="1117"/>
      <c r="B16" s="1130"/>
      <c r="C16" s="1131"/>
      <c r="D16" s="1132"/>
    </row>
    <row r="17" spans="1:4" s="493" customFormat="1" ht="32.1" customHeight="1" thickBot="1">
      <c r="A17" s="779" t="s">
        <v>1371</v>
      </c>
      <c r="B17" s="1112" t="s">
        <v>1370</v>
      </c>
      <c r="C17" s="1113"/>
      <c r="D17" s="1114"/>
    </row>
    <row r="18" spans="1:4" s="493" customFormat="1" ht="69.599999999999994" thickBot="1">
      <c r="A18" s="1115" t="s">
        <v>1369</v>
      </c>
      <c r="B18" s="789" t="s">
        <v>652</v>
      </c>
      <c r="C18" s="784" t="s">
        <v>1368</v>
      </c>
      <c r="D18" s="783" t="s">
        <v>1367</v>
      </c>
    </row>
    <row r="19" spans="1:4" s="493" customFormat="1" ht="15" thickBot="1">
      <c r="A19" s="1116"/>
      <c r="B19" s="788">
        <v>50</v>
      </c>
      <c r="C19" s="788">
        <v>2.2850000000000001</v>
      </c>
      <c r="D19" s="787">
        <v>0.01</v>
      </c>
    </row>
    <row r="20" spans="1:4" s="493" customFormat="1" ht="15" thickBot="1">
      <c r="A20" s="1116"/>
      <c r="B20" s="788">
        <v>51</v>
      </c>
      <c r="C20" s="788">
        <v>2.5569999999999999</v>
      </c>
      <c r="D20" s="787">
        <v>1.0999999999999999E-2</v>
      </c>
    </row>
    <row r="21" spans="1:4" s="493" customFormat="1" ht="15" thickBot="1">
      <c r="A21" s="1116"/>
      <c r="B21" s="788">
        <v>52</v>
      </c>
      <c r="C21" s="788">
        <v>2.8279999999999998</v>
      </c>
      <c r="D21" s="787">
        <v>1.0999999999999999E-2</v>
      </c>
    </row>
    <row r="22" spans="1:4" s="493" customFormat="1" ht="15" thickBot="1">
      <c r="A22" s="1116"/>
      <c r="B22" s="788">
        <v>53</v>
      </c>
      <c r="C22" s="788">
        <v>3.0880000000000001</v>
      </c>
      <c r="D22" s="787">
        <v>1.2E-2</v>
      </c>
    </row>
    <row r="23" spans="1:4" s="493" customFormat="1" ht="15" thickBot="1">
      <c r="A23" s="1116"/>
      <c r="B23" s="788">
        <v>54</v>
      </c>
      <c r="C23" s="788">
        <v>3.3450000000000002</v>
      </c>
      <c r="D23" s="787">
        <v>1.2E-2</v>
      </c>
    </row>
    <row r="24" spans="1:4" s="493" customFormat="1" ht="15" thickBot="1">
      <c r="A24" s="1116"/>
      <c r="B24" s="788">
        <v>55</v>
      </c>
      <c r="C24" s="788">
        <v>3.6160000000000001</v>
      </c>
      <c r="D24" s="787">
        <v>1.2999999999999999E-2</v>
      </c>
    </row>
    <row r="25" spans="1:4" s="493" customFormat="1" ht="15" thickBot="1">
      <c r="A25" s="1116"/>
      <c r="B25" s="788">
        <v>56</v>
      </c>
      <c r="C25" s="788">
        <v>3.9220000000000002</v>
      </c>
      <c r="D25" s="787">
        <v>1.2999999999999999E-2</v>
      </c>
    </row>
    <row r="26" spans="1:4" s="493" customFormat="1" ht="15" thickBot="1">
      <c r="A26" s="1116"/>
      <c r="B26" s="788">
        <v>57</v>
      </c>
      <c r="C26" s="788">
        <v>4.2720000000000002</v>
      </c>
      <c r="D26" s="787">
        <v>1.4E-2</v>
      </c>
    </row>
    <row r="27" spans="1:4" s="493" customFormat="1" ht="15" thickBot="1">
      <c r="A27" s="1116"/>
      <c r="B27" s="788">
        <v>58</v>
      </c>
      <c r="C27" s="788">
        <v>4.681</v>
      </c>
      <c r="D27" s="787">
        <v>1.4E-2</v>
      </c>
    </row>
    <row r="28" spans="1:4" s="493" customFormat="1" ht="15" thickBot="1">
      <c r="A28" s="1117"/>
      <c r="B28" s="786">
        <v>59</v>
      </c>
      <c r="C28" s="786">
        <v>5.1459999999999999</v>
      </c>
      <c r="D28" s="785">
        <v>1.4999999999999999E-2</v>
      </c>
    </row>
    <row r="29" spans="1:4" s="493" customFormat="1" ht="119.1" customHeight="1" thickBot="1">
      <c r="A29" s="1115" t="s">
        <v>1366</v>
      </c>
      <c r="B29" s="784" t="s">
        <v>374</v>
      </c>
      <c r="C29" s="783" t="s">
        <v>1365</v>
      </c>
      <c r="D29" s="780"/>
    </row>
    <row r="30" spans="1:4" s="493" customFormat="1" ht="15" thickBot="1">
      <c r="A30" s="1116"/>
      <c r="B30" s="782">
        <v>1</v>
      </c>
      <c r="C30" s="781">
        <v>0.05</v>
      </c>
      <c r="D30" s="780"/>
    </row>
    <row r="31" spans="1:4" s="493" customFormat="1" ht="15" thickBot="1">
      <c r="A31" s="1116"/>
      <c r="B31" s="782">
        <v>2</v>
      </c>
      <c r="C31" s="781">
        <v>0.04</v>
      </c>
      <c r="D31" s="780"/>
    </row>
    <row r="32" spans="1:4" s="493" customFormat="1" ht="15" thickBot="1">
      <c r="A32" s="1116"/>
      <c r="B32" s="782">
        <v>3</v>
      </c>
      <c r="C32" s="781">
        <v>0.03</v>
      </c>
      <c r="D32" s="780"/>
    </row>
    <row r="33" spans="1:4" s="493" customFormat="1" ht="15" thickBot="1">
      <c r="A33" s="1116"/>
      <c r="B33" s="782">
        <v>4</v>
      </c>
      <c r="C33" s="781">
        <v>0.02</v>
      </c>
      <c r="D33" s="780"/>
    </row>
    <row r="34" spans="1:4" s="493" customFormat="1" ht="15" thickBot="1">
      <c r="A34" s="1116"/>
      <c r="B34" s="782">
        <v>5</v>
      </c>
      <c r="C34" s="781">
        <v>0.01</v>
      </c>
      <c r="D34" s="780"/>
    </row>
    <row r="35" spans="1:4" s="493" customFormat="1" ht="15" thickBot="1">
      <c r="A35" s="1116"/>
      <c r="B35" s="782">
        <v>6</v>
      </c>
      <c r="C35" s="781">
        <v>0</v>
      </c>
      <c r="D35" s="780"/>
    </row>
    <row r="36" spans="1:4" s="493" customFormat="1" ht="15" thickBot="1">
      <c r="A36" s="1117"/>
      <c r="B36" s="778">
        <v>7</v>
      </c>
      <c r="C36" s="777">
        <v>0</v>
      </c>
      <c r="D36" s="776"/>
    </row>
    <row r="37" spans="1:4" s="493" customFormat="1" ht="15.6">
      <c r="A37" s="494"/>
    </row>
    <row r="38" spans="1:4" s="493" customFormat="1" ht="15.6">
      <c r="A38" s="775" t="s">
        <v>1364</v>
      </c>
    </row>
    <row r="39" spans="1:4" ht="15.6">
      <c r="A39" s="756" t="s">
        <v>24</v>
      </c>
    </row>
  </sheetData>
  <mergeCells count="12">
    <mergeCell ref="B17:D17"/>
    <mergeCell ref="A18:A28"/>
    <mergeCell ref="A29:A36"/>
    <mergeCell ref="B8:D8"/>
    <mergeCell ref="B9:D9"/>
    <mergeCell ref="B10:D10"/>
    <mergeCell ref="B11:D11"/>
    <mergeCell ref="B12:D12"/>
    <mergeCell ref="B13:D13"/>
    <mergeCell ref="B14:D14"/>
    <mergeCell ref="A15:A16"/>
    <mergeCell ref="B15:D16"/>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EA576-AD9F-42FC-9545-4B01C25A5113}">
  <sheetPr>
    <tabColor theme="5" tint="0.79998168889431442"/>
  </sheetPr>
  <dimension ref="A2:P44"/>
  <sheetViews>
    <sheetView topLeftCell="A12" workbookViewId="0">
      <selection activeCell="H10" sqref="H10"/>
    </sheetView>
  </sheetViews>
  <sheetFormatPr defaultColWidth="11" defaultRowHeight="14.4"/>
  <cols>
    <col min="1" max="7" width="15" style="448" customWidth="1"/>
    <col min="8" max="8" width="13.44140625" style="448" customWidth="1"/>
    <col min="9" max="9" width="11" style="448"/>
    <col min="10" max="10" width="21.44140625" style="448" customWidth="1"/>
    <col min="11" max="13" width="11" style="448"/>
    <col min="14" max="14" width="14" style="448" customWidth="1"/>
    <col min="15" max="15" width="11" style="448"/>
    <col min="16" max="16" width="13.21875" style="448" customWidth="1"/>
    <col min="17" max="16384" width="11" style="448"/>
  </cols>
  <sheetData>
    <row r="2" spans="1:16" s="856" customFormat="1" ht="27.6">
      <c r="A2" s="856" t="s">
        <v>1457</v>
      </c>
    </row>
    <row r="4" spans="1:16">
      <c r="B4" s="829"/>
      <c r="C4" s="832"/>
    </row>
    <row r="5" spans="1:16" ht="53.4">
      <c r="A5" s="855" t="s">
        <v>652</v>
      </c>
      <c r="B5" s="854" t="s">
        <v>1368</v>
      </c>
      <c r="C5" s="853" t="s">
        <v>1367</v>
      </c>
      <c r="E5" s="852" t="s">
        <v>1456</v>
      </c>
      <c r="F5" s="851" t="s">
        <v>1455</v>
      </c>
      <c r="G5" s="850" t="s">
        <v>1454</v>
      </c>
      <c r="I5" s="849" t="s">
        <v>374</v>
      </c>
      <c r="J5" s="848" t="s">
        <v>1365</v>
      </c>
      <c r="K5" s="847"/>
      <c r="L5" s="847"/>
      <c r="M5" s="847"/>
      <c r="N5" s="847"/>
      <c r="O5" s="847"/>
      <c r="P5" s="847"/>
    </row>
    <row r="6" spans="1:16" ht="15.6">
      <c r="A6" s="838">
        <v>50</v>
      </c>
      <c r="B6" s="837">
        <v>2.2850000000000001</v>
      </c>
      <c r="C6" s="836">
        <v>0.01</v>
      </c>
      <c r="E6" s="846">
        <v>2.5000000000000001E-2</v>
      </c>
      <c r="F6" s="845">
        <v>0.05</v>
      </c>
      <c r="G6" s="844">
        <v>0.04</v>
      </c>
      <c r="H6" s="820"/>
      <c r="I6" s="842">
        <v>1</v>
      </c>
      <c r="J6" s="841">
        <v>0.05</v>
      </c>
      <c r="K6" s="843"/>
      <c r="L6" s="843"/>
      <c r="M6" s="843"/>
      <c r="N6" s="843"/>
      <c r="O6" s="843"/>
      <c r="P6" s="843"/>
    </row>
    <row r="7" spans="1:16" ht="15.6">
      <c r="A7" s="838">
        <v>51</v>
      </c>
      <c r="B7" s="837">
        <v>2.5569999999999999</v>
      </c>
      <c r="C7" s="836">
        <v>1.0999999999999999E-2</v>
      </c>
      <c r="I7" s="842">
        <v>2</v>
      </c>
      <c r="J7" s="841">
        <v>0.04</v>
      </c>
    </row>
    <row r="8" spans="1:16" ht="15.6">
      <c r="A8" s="838">
        <v>52</v>
      </c>
      <c r="B8" s="837">
        <v>2.8279999999999998</v>
      </c>
      <c r="C8" s="836">
        <v>1.0999999999999999E-2</v>
      </c>
      <c r="G8" s="832"/>
      <c r="H8" s="820"/>
      <c r="I8" s="842">
        <v>3</v>
      </c>
      <c r="J8" s="841">
        <v>0.03</v>
      </c>
    </row>
    <row r="9" spans="1:16" ht="15.6">
      <c r="A9" s="838">
        <v>53</v>
      </c>
      <c r="B9" s="837">
        <v>3.0880000000000001</v>
      </c>
      <c r="C9" s="836">
        <v>1.2E-2</v>
      </c>
      <c r="I9" s="842">
        <v>4</v>
      </c>
      <c r="J9" s="841">
        <v>0.02</v>
      </c>
    </row>
    <row r="10" spans="1:16" ht="15.6">
      <c r="A10" s="838">
        <v>54</v>
      </c>
      <c r="B10" s="837">
        <v>3.3450000000000002</v>
      </c>
      <c r="C10" s="836">
        <v>1.2E-2</v>
      </c>
      <c r="H10" s="820"/>
      <c r="I10" s="842">
        <v>5</v>
      </c>
      <c r="J10" s="841">
        <v>0.01</v>
      </c>
    </row>
    <row r="11" spans="1:16" ht="15.6">
      <c r="A11" s="838">
        <v>55</v>
      </c>
      <c r="B11" s="837">
        <v>3.6160000000000001</v>
      </c>
      <c r="C11" s="836">
        <v>1.2999999999999999E-2</v>
      </c>
      <c r="I11" s="842">
        <v>6</v>
      </c>
      <c r="J11" s="841">
        <v>0</v>
      </c>
    </row>
    <row r="12" spans="1:16" ht="16.2" thickBot="1">
      <c r="A12" s="838">
        <v>56</v>
      </c>
      <c r="B12" s="837">
        <v>3.9220000000000002</v>
      </c>
      <c r="C12" s="836">
        <v>1.2999999999999999E-2</v>
      </c>
      <c r="H12" s="820"/>
      <c r="I12" s="840">
        <v>7</v>
      </c>
      <c r="J12" s="839">
        <v>0</v>
      </c>
    </row>
    <row r="13" spans="1:16">
      <c r="A13" s="838">
        <v>57</v>
      </c>
      <c r="B13" s="837">
        <v>4.2720000000000002</v>
      </c>
      <c r="C13" s="836">
        <v>1.4E-2</v>
      </c>
    </row>
    <row r="14" spans="1:16">
      <c r="A14" s="838">
        <v>58</v>
      </c>
      <c r="B14" s="837">
        <v>4.681</v>
      </c>
      <c r="C14" s="836">
        <v>1.4E-2</v>
      </c>
      <c r="H14" s="820"/>
    </row>
    <row r="15" spans="1:16">
      <c r="A15" s="835">
        <v>59</v>
      </c>
      <c r="B15" s="834">
        <v>5.1459999999999999</v>
      </c>
      <c r="C15" s="833">
        <v>1.4999999999999999E-2</v>
      </c>
    </row>
    <row r="16" spans="1:16">
      <c r="H16" s="820"/>
    </row>
    <row r="17" spans="1:14">
      <c r="A17" s="820"/>
    </row>
    <row r="18" spans="1:14">
      <c r="A18" s="832"/>
      <c r="H18" s="820"/>
    </row>
    <row r="20" spans="1:14" s="831" customFormat="1" ht="27.6">
      <c r="A20" s="831" t="s">
        <v>1453</v>
      </c>
    </row>
    <row r="22" spans="1:14" s="828" customFormat="1" ht="42" customHeight="1">
      <c r="G22" s="829" t="s">
        <v>1452</v>
      </c>
      <c r="H22" s="830" t="s">
        <v>1451</v>
      </c>
      <c r="J22" s="829" t="s">
        <v>1450</v>
      </c>
      <c r="M22" s="1133" t="s">
        <v>1449</v>
      </c>
      <c r="N22" s="1133"/>
    </row>
    <row r="23" spans="1:14" s="828" customFormat="1" ht="53.4">
      <c r="A23" s="830" t="s">
        <v>1448</v>
      </c>
      <c r="B23" s="829" t="s">
        <v>1291</v>
      </c>
      <c r="C23" s="829" t="s">
        <v>1447</v>
      </c>
      <c r="D23" s="829" t="s">
        <v>530</v>
      </c>
      <c r="E23" s="829" t="s">
        <v>1446</v>
      </c>
      <c r="F23" s="829" t="s">
        <v>1445</v>
      </c>
      <c r="G23" s="829" t="s">
        <v>1139</v>
      </c>
      <c r="H23" s="829" t="s">
        <v>1442</v>
      </c>
      <c r="J23" s="829" t="s">
        <v>1444</v>
      </c>
      <c r="K23" s="829" t="s">
        <v>1443</v>
      </c>
      <c r="M23" s="829" t="s">
        <v>1139</v>
      </c>
      <c r="N23" s="829" t="s">
        <v>1442</v>
      </c>
    </row>
    <row r="24" spans="1:14">
      <c r="A24" s="448">
        <v>2</v>
      </c>
      <c r="B24" s="827">
        <v>44012</v>
      </c>
      <c r="C24" s="826">
        <v>115000</v>
      </c>
      <c r="D24" s="823">
        <f>C24*(1-J7)</f>
        <v>110400</v>
      </c>
      <c r="F24" s="825">
        <v>1</v>
      </c>
      <c r="J24" s="824">
        <v>1</v>
      </c>
      <c r="K24" s="824">
        <v>1</v>
      </c>
    </row>
    <row r="25" spans="1:14">
      <c r="A25" s="448">
        <v>3</v>
      </c>
      <c r="B25" s="827">
        <f>EOMONTH(B24,12)</f>
        <v>44377</v>
      </c>
      <c r="C25" s="826">
        <f>C24*(1+$E$6)</f>
        <v>117874.99999999999</v>
      </c>
      <c r="D25" s="823">
        <f>C25*(1-J8)</f>
        <v>114338.74999999999</v>
      </c>
      <c r="E25" s="825">
        <f>(B8/1000)*(1-C8)^(YEAR(B24)-2012)</f>
        <v>2.5885093491588742E-3</v>
      </c>
      <c r="F25" s="825">
        <f>F24*(1-E25)</f>
        <v>0.99741149065084111</v>
      </c>
      <c r="G25" s="823">
        <f>F24*E25*C25</f>
        <v>305.12053953210227</v>
      </c>
      <c r="J25" s="824">
        <f>J24/(1+$F$6)</f>
        <v>0.95238095238095233</v>
      </c>
      <c r="K25" s="824">
        <f>K24/(1+$G$6)</f>
        <v>0.96153846153846145</v>
      </c>
      <c r="M25" s="823">
        <f>J25*G25</f>
        <v>290.59099003057355</v>
      </c>
    </row>
    <row r="26" spans="1:14">
      <c r="A26" s="448">
        <v>4</v>
      </c>
      <c r="B26" s="827">
        <f>EOMONTH(B25,12)</f>
        <v>44742</v>
      </c>
      <c r="C26" s="826">
        <f>C25*(1+$E$6)</f>
        <v>120821.87499999997</v>
      </c>
      <c r="D26" s="823">
        <f>C26*(1-J9)</f>
        <v>118405.43749999997</v>
      </c>
      <c r="E26" s="825">
        <f>(B9/1000)*(1-C9)^(YEAR(B25)-2012)</f>
        <v>2.7700639347057921E-3</v>
      </c>
      <c r="F26" s="825">
        <f>F25*(1-E26)</f>
        <v>0.99464859705252806</v>
      </c>
      <c r="G26" s="823">
        <f>F25*E26*C26</f>
        <v>333.81798497367805</v>
      </c>
      <c r="J26" s="824">
        <f>J25/(1+$F$6)</f>
        <v>0.90702947845804982</v>
      </c>
      <c r="K26" s="824">
        <f>K25/(1+$G$6)</f>
        <v>0.92455621301775137</v>
      </c>
      <c r="M26" s="823">
        <f>J26*G26</f>
        <v>302.78275281059234</v>
      </c>
    </row>
    <row r="27" spans="1:14">
      <c r="A27" s="448">
        <v>5</v>
      </c>
      <c r="B27" s="827">
        <f>EOMONTH(B26,12)</f>
        <v>45107</v>
      </c>
      <c r="C27" s="826">
        <f>C26*(1+$E$6)</f>
        <v>123842.42187499996</v>
      </c>
      <c r="D27" s="823">
        <f>C27*(1-J10)</f>
        <v>122603.99765624995</v>
      </c>
      <c r="E27" s="825">
        <f>(B10/1000)*(1-C10)^(YEAR(B26)-2012)</f>
        <v>2.9645963391359406E-3</v>
      </c>
      <c r="F27" s="825">
        <f>F26*(1-E27)</f>
        <v>0.9916998654629795</v>
      </c>
      <c r="G27" s="823">
        <f>F26*E27*C27</f>
        <v>365.17806150901987</v>
      </c>
      <c r="H27" s="823">
        <f>F27*D27</f>
        <v>121586.36798092653</v>
      </c>
      <c r="J27" s="824">
        <f>J26/(1+$F$6)</f>
        <v>0.86383759853147601</v>
      </c>
      <c r="K27" s="824">
        <f>K26/(1+$G$6)</f>
        <v>0.88899635867091475</v>
      </c>
      <c r="M27" s="823">
        <f>J27*G27</f>
        <v>315.45453969033139</v>
      </c>
      <c r="N27" s="823">
        <f>K27*H27</f>
        <v>108089.83839906559</v>
      </c>
    </row>
    <row r="28" spans="1:14">
      <c r="H28" s="820"/>
    </row>
    <row r="29" spans="1:14">
      <c r="M29" s="823">
        <f>SUM(M25:M27)</f>
        <v>908.82828253149728</v>
      </c>
      <c r="N29" s="823">
        <f>SUM(N25:N27)</f>
        <v>108089.83839906559</v>
      </c>
    </row>
    <row r="30" spans="1:14">
      <c r="H30" s="820"/>
    </row>
    <row r="31" spans="1:14">
      <c r="B31" s="822" t="s">
        <v>1441</v>
      </c>
    </row>
    <row r="32" spans="1:14">
      <c r="B32" s="821">
        <f>SUM(M29:N29)</f>
        <v>108998.66668159708</v>
      </c>
      <c r="H32" s="820"/>
    </row>
    <row r="34" spans="8:8">
      <c r="H34" s="820"/>
    </row>
    <row r="36" spans="8:8">
      <c r="H36" s="820"/>
    </row>
    <row r="38" spans="8:8">
      <c r="H38" s="820"/>
    </row>
    <row r="40" spans="8:8">
      <c r="H40" s="820"/>
    </row>
    <row r="42" spans="8:8">
      <c r="H42" s="820"/>
    </row>
    <row r="44" spans="8:8">
      <c r="H44" s="820"/>
    </row>
  </sheetData>
  <mergeCells count="1">
    <mergeCell ref="M22:N22"/>
  </mergeCells>
  <pageMargins left="0.7" right="0.7" top="0.75" bottom="0.75" header="0.3" footer="0.3"/>
  <headerFooter>
    <oddFooter>&amp;C_x000D_&amp;1#&amp;"Calibri"&amp;10&amp;K000000 CONFIDENTIAL</oddFooter>
  </headerFooter>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44DF7-11CE-405C-8A30-02A95F379325}">
  <dimension ref="A1:E60"/>
  <sheetViews>
    <sheetView workbookViewId="0">
      <selection activeCell="C1" sqref="C1"/>
    </sheetView>
  </sheetViews>
  <sheetFormatPr defaultColWidth="9.21875" defaultRowHeight="14.4"/>
  <cols>
    <col min="1" max="1" width="29.21875" style="448" customWidth="1"/>
    <col min="2" max="2" width="21.21875" style="448" customWidth="1"/>
    <col min="3" max="3" width="18.21875" style="448" customWidth="1"/>
    <col min="4" max="4" width="13" style="448" customWidth="1"/>
    <col min="5" max="5" width="12" style="448" customWidth="1"/>
    <col min="6" max="6" width="11.77734375" style="448" customWidth="1"/>
    <col min="7" max="7" width="9.44140625" style="448" customWidth="1"/>
    <col min="8" max="8" width="12.44140625" style="448" customWidth="1"/>
    <col min="9" max="16384" width="9.21875" style="448"/>
  </cols>
  <sheetData>
    <row r="1" spans="1:5" s="493" customFormat="1" ht="17.399999999999999">
      <c r="A1" s="523" t="s">
        <v>1643</v>
      </c>
    </row>
    <row r="2" spans="1:5" s="493" customFormat="1" ht="15.6">
      <c r="A2" s="522" t="s">
        <v>1644</v>
      </c>
    </row>
    <row r="3" spans="1:5" s="493" customFormat="1" ht="15.6">
      <c r="A3" s="522" t="s">
        <v>1645</v>
      </c>
    </row>
    <row r="4" spans="1:5" s="493" customFormat="1"/>
    <row r="6" spans="1:5" s="493" customFormat="1" ht="59.1" customHeight="1">
      <c r="A6" s="1046" t="s">
        <v>1646</v>
      </c>
      <c r="B6" s="1046"/>
      <c r="C6" s="1046"/>
      <c r="D6" s="1046"/>
      <c r="E6" s="1046"/>
    </row>
    <row r="7" spans="1:5" s="493" customFormat="1" ht="7.05" customHeight="1">
      <c r="A7" s="536"/>
    </row>
    <row r="8" spans="1:5" s="493" customFormat="1" ht="25.05" customHeight="1">
      <c r="A8" s="1047" t="s">
        <v>1647</v>
      </c>
      <c r="B8" s="1047"/>
      <c r="C8" s="1047"/>
      <c r="D8" s="1047"/>
      <c r="E8" s="1047"/>
    </row>
    <row r="9" spans="1:5" s="493" customFormat="1" ht="15.6">
      <c r="A9" s="494"/>
    </row>
    <row r="10" spans="1:5" s="493" customFormat="1" ht="34.5" customHeight="1">
      <c r="A10" s="1047" t="s">
        <v>1648</v>
      </c>
      <c r="B10" s="1047"/>
      <c r="C10" s="1047"/>
      <c r="D10" s="1047"/>
      <c r="E10" s="1047"/>
    </row>
    <row r="11" spans="1:5" s="493" customFormat="1" ht="15.6">
      <c r="A11" s="543"/>
    </row>
    <row r="12" spans="1:5" s="493" customFormat="1" ht="15.6">
      <c r="A12" s="536" t="s">
        <v>1649</v>
      </c>
    </row>
    <row r="13" spans="1:5" ht="15.6">
      <c r="A13" s="989" t="s">
        <v>24</v>
      </c>
    </row>
    <row r="21" spans="1:4" s="493" customFormat="1" ht="15.6">
      <c r="A21" s="539" t="s">
        <v>1650</v>
      </c>
    </row>
    <row r="22" spans="1:4" s="493" customFormat="1" ht="16.2" thickBot="1">
      <c r="A22" s="991"/>
    </row>
    <row r="23" spans="1:4" s="493" customFormat="1" ht="16.2" thickBot="1">
      <c r="A23" s="535" t="s">
        <v>1651</v>
      </c>
      <c r="B23" s="562" t="s">
        <v>1652</v>
      </c>
      <c r="C23" s="562" t="s">
        <v>1653</v>
      </c>
      <c r="D23" s="562" t="s">
        <v>1654</v>
      </c>
    </row>
    <row r="24" spans="1:4" s="493" customFormat="1" ht="16.2" thickBot="1">
      <c r="A24" s="533" t="s">
        <v>199</v>
      </c>
      <c r="B24" s="555">
        <v>10000000</v>
      </c>
      <c r="C24" s="555">
        <v>9000000</v>
      </c>
      <c r="D24" s="555">
        <v>8000000</v>
      </c>
    </row>
    <row r="25" spans="1:4" s="493" customFormat="1" ht="16.2" thickBot="1">
      <c r="A25" s="533" t="s">
        <v>1655</v>
      </c>
      <c r="B25" s="555">
        <v>7000000</v>
      </c>
      <c r="C25" s="555">
        <v>6500000</v>
      </c>
      <c r="D25" s="555">
        <v>6000000</v>
      </c>
    </row>
    <row r="26" spans="1:4" s="493" customFormat="1" ht="16.2" thickBot="1">
      <c r="A26" s="533" t="s">
        <v>1656</v>
      </c>
      <c r="B26" s="555">
        <v>1500000</v>
      </c>
      <c r="C26" s="555">
        <v>1480000</v>
      </c>
      <c r="D26" s="555">
        <v>1460000</v>
      </c>
    </row>
    <row r="27" spans="1:4" s="493" customFormat="1" ht="16.2" thickBot="1">
      <c r="A27" s="533" t="s">
        <v>906</v>
      </c>
      <c r="B27" s="555">
        <v>750000</v>
      </c>
      <c r="C27" s="555">
        <v>675000</v>
      </c>
      <c r="D27" s="555">
        <v>600000</v>
      </c>
    </row>
    <row r="28" spans="1:4" s="493" customFormat="1" ht="16.2" thickBot="1">
      <c r="A28" s="533" t="s">
        <v>1657</v>
      </c>
      <c r="B28" s="555">
        <v>70000</v>
      </c>
      <c r="C28" s="555">
        <v>65000</v>
      </c>
      <c r="D28" s="555">
        <v>60000</v>
      </c>
    </row>
    <row r="29" spans="1:4" s="493" customFormat="1" ht="16.2" thickBot="1">
      <c r="A29" s="533" t="s">
        <v>1658</v>
      </c>
      <c r="B29" s="555">
        <v>175000</v>
      </c>
      <c r="C29" s="555">
        <v>162500</v>
      </c>
      <c r="D29" s="555">
        <v>150000</v>
      </c>
    </row>
    <row r="30" spans="1:4" s="493" customFormat="1" ht="16.2" thickBot="1">
      <c r="A30" s="494"/>
    </row>
    <row r="31" spans="1:4" s="493" customFormat="1" ht="16.2" thickBot="1">
      <c r="A31" s="535" t="s">
        <v>1659</v>
      </c>
      <c r="B31" s="562" t="s">
        <v>1652</v>
      </c>
      <c r="C31" s="562" t="s">
        <v>1653</v>
      </c>
      <c r="D31" s="562" t="s">
        <v>1654</v>
      </c>
    </row>
    <row r="32" spans="1:4" s="493" customFormat="1" ht="16.2" thickBot="1">
      <c r="A32" s="533" t="s">
        <v>199</v>
      </c>
      <c r="B32" s="555">
        <v>9500000</v>
      </c>
      <c r="C32" s="555">
        <v>8550000</v>
      </c>
      <c r="D32" s="555">
        <v>7600000</v>
      </c>
    </row>
    <row r="33" spans="1:4" s="493" customFormat="1" ht="16.2" thickBot="1">
      <c r="A33" s="533" t="s">
        <v>1655</v>
      </c>
      <c r="B33" s="555">
        <v>7350000</v>
      </c>
      <c r="C33" s="555">
        <v>6825000</v>
      </c>
      <c r="D33" s="555">
        <v>6300000</v>
      </c>
    </row>
    <row r="34" spans="1:4" s="493" customFormat="1" ht="16.2" thickBot="1">
      <c r="A34" s="533" t="s">
        <v>1656</v>
      </c>
      <c r="B34" s="555">
        <v>1550000</v>
      </c>
      <c r="C34" s="555">
        <v>1500000</v>
      </c>
      <c r="D34" s="555">
        <v>1475000</v>
      </c>
    </row>
    <row r="35" spans="1:4" s="493" customFormat="1" ht="16.2" thickBot="1">
      <c r="A35" s="533" t="s">
        <v>906</v>
      </c>
      <c r="B35" s="555">
        <v>715000</v>
      </c>
      <c r="C35" s="555">
        <v>650000</v>
      </c>
      <c r="D35" s="555">
        <v>600000</v>
      </c>
    </row>
    <row r="36" spans="1:4" s="493" customFormat="1" ht="16.2" thickBot="1">
      <c r="A36" s="533" t="s">
        <v>1657</v>
      </c>
      <c r="B36" s="555">
        <v>73500</v>
      </c>
      <c r="C36" s="555">
        <v>68250</v>
      </c>
      <c r="D36" s="555">
        <v>63000</v>
      </c>
    </row>
    <row r="37" spans="1:4" s="493" customFormat="1" ht="16.2" thickBot="1">
      <c r="A37" s="533" t="s">
        <v>1658</v>
      </c>
      <c r="B37" s="555">
        <v>175000</v>
      </c>
      <c r="C37" s="555">
        <v>162500</v>
      </c>
      <c r="D37" s="555">
        <v>150000</v>
      </c>
    </row>
    <row r="38" spans="1:4" s="493" customFormat="1" ht="15.6">
      <c r="A38" s="494"/>
    </row>
    <row r="39" spans="1:4" s="493" customFormat="1" ht="15.6">
      <c r="A39" s="992" t="s">
        <v>1660</v>
      </c>
    </row>
    <row r="40" spans="1:4" s="493" customFormat="1" ht="15.6">
      <c r="A40" s="992" t="s">
        <v>1661</v>
      </c>
    </row>
    <row r="41" spans="1:4" s="493" customFormat="1" ht="15.6">
      <c r="A41" s="992" t="s">
        <v>1662</v>
      </c>
    </row>
    <row r="42" spans="1:4" s="493" customFormat="1" ht="15.6">
      <c r="A42" s="494"/>
    </row>
    <row r="43" spans="1:4" s="493" customFormat="1" ht="15.6">
      <c r="A43" s="494" t="s">
        <v>1663</v>
      </c>
    </row>
    <row r="44" spans="1:4" s="493" customFormat="1" ht="15.6">
      <c r="A44" s="539" t="s">
        <v>1664</v>
      </c>
    </row>
    <row r="45" spans="1:4" ht="15.6">
      <c r="A45" s="989" t="s">
        <v>24</v>
      </c>
    </row>
    <row r="46" spans="1:4" ht="15.6">
      <c r="A46" s="495"/>
    </row>
    <row r="47" spans="1:4" ht="15.6">
      <c r="A47" s="495"/>
    </row>
    <row r="48" spans="1:4" ht="15.6">
      <c r="A48" s="495"/>
    </row>
    <row r="49" spans="1:1" ht="15.6">
      <c r="A49" s="495"/>
    </row>
    <row r="50" spans="1:1" ht="15.6">
      <c r="A50" s="495"/>
    </row>
    <row r="51" spans="1:1" ht="15.6">
      <c r="A51" s="495"/>
    </row>
    <row r="52" spans="1:1" ht="15.6">
      <c r="A52" s="495"/>
    </row>
    <row r="53" spans="1:1" ht="15.6">
      <c r="A53" s="495"/>
    </row>
    <row r="54" spans="1:1" ht="15.6">
      <c r="A54" s="495"/>
    </row>
    <row r="55" spans="1:1" ht="15.6">
      <c r="A55" s="495"/>
    </row>
    <row r="56" spans="1:1" ht="15.6">
      <c r="A56" s="993"/>
    </row>
    <row r="57" spans="1:1" s="493" customFormat="1" ht="15.6">
      <c r="A57" s="775" t="s">
        <v>1665</v>
      </c>
    </row>
    <row r="58" spans="1:1" ht="15.6">
      <c r="A58" s="989" t="s">
        <v>24</v>
      </c>
    </row>
    <row r="59" spans="1:1" ht="15.6">
      <c r="A59" s="993"/>
    </row>
    <row r="60" spans="1:1" ht="15.6">
      <c r="A60" s="542"/>
    </row>
  </sheetData>
  <mergeCells count="3">
    <mergeCell ref="A6:E6"/>
    <mergeCell ref="A8:E8"/>
    <mergeCell ref="A10:E10"/>
  </mergeCell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E142-7D91-4C51-9063-18E93D38C99D}">
  <sheetPr>
    <tabColor rgb="FFFF0000"/>
  </sheetPr>
  <dimension ref="A1:D15"/>
  <sheetViews>
    <sheetView workbookViewId="0">
      <selection activeCell="F18" sqref="F18"/>
    </sheetView>
  </sheetViews>
  <sheetFormatPr defaultColWidth="9.21875" defaultRowHeight="14.4"/>
  <cols>
    <col min="1" max="2" width="9.21875" style="727"/>
    <col min="3" max="3" width="47.77734375" style="727" customWidth="1"/>
    <col min="4" max="16384" width="9.21875" style="727"/>
  </cols>
  <sheetData>
    <row r="1" spans="1:4" s="729" customFormat="1" ht="17.399999999999999">
      <c r="A1" s="730" t="s">
        <v>408</v>
      </c>
    </row>
    <row r="2" spans="1:4" s="729" customFormat="1" ht="15.6">
      <c r="A2" s="731" t="s">
        <v>190</v>
      </c>
    </row>
    <row r="3" spans="1:4" s="729" customFormat="1" ht="15.6">
      <c r="A3" s="731" t="s">
        <v>388</v>
      </c>
    </row>
    <row r="4" spans="1:4" s="729" customFormat="1"/>
    <row r="5" spans="1:4" s="729" customFormat="1" ht="15.6">
      <c r="A5" s="741" t="s">
        <v>1380</v>
      </c>
    </row>
    <row r="6" spans="1:4" s="729" customFormat="1" ht="15.6">
      <c r="A6" s="741"/>
    </row>
    <row r="7" spans="1:4" s="729" customFormat="1" ht="15.6">
      <c r="A7" s="857" t="s">
        <v>1458</v>
      </c>
      <c r="B7" s="858"/>
      <c r="C7" s="858"/>
      <c r="D7" s="859">
        <v>0.1</v>
      </c>
    </row>
    <row r="8" spans="1:4" s="729" customFormat="1" ht="15.6">
      <c r="A8" s="857" t="s">
        <v>1459</v>
      </c>
      <c r="B8" s="858"/>
      <c r="C8" s="858"/>
      <c r="D8" s="860">
        <v>1.96</v>
      </c>
    </row>
    <row r="9" spans="1:4" s="729" customFormat="1" ht="15.6">
      <c r="A9" s="857" t="s">
        <v>1460</v>
      </c>
      <c r="B9" s="858"/>
      <c r="C9" s="858"/>
      <c r="D9" s="861">
        <v>0.85</v>
      </c>
    </row>
    <row r="10" spans="1:4" s="729" customFormat="1" ht="15.6">
      <c r="A10" s="857" t="s">
        <v>1461</v>
      </c>
      <c r="B10" s="858"/>
      <c r="C10" s="858"/>
      <c r="D10" s="860">
        <v>0.03</v>
      </c>
    </row>
    <row r="11" spans="1:4" s="729" customFormat="1" ht="15.6">
      <c r="A11" s="857" t="s">
        <v>1462</v>
      </c>
      <c r="B11" s="858"/>
      <c r="C11" s="858"/>
      <c r="D11" s="858"/>
    </row>
    <row r="12" spans="1:4" s="729" customFormat="1" ht="15.6">
      <c r="A12" s="728"/>
    </row>
    <row r="13" spans="1:4" s="729" customFormat="1" ht="15.6">
      <c r="A13" s="728"/>
    </row>
    <row r="14" spans="1:4" s="729" customFormat="1" ht="15.6">
      <c r="A14" s="728" t="s">
        <v>1463</v>
      </c>
    </row>
    <row r="15" spans="1:4" ht="15.6">
      <c r="A15" s="862" t="s">
        <v>24</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D8C84-4CB6-4180-BAD9-A27D3884F675}">
  <dimension ref="A1:E61"/>
  <sheetViews>
    <sheetView workbookViewId="0">
      <selection activeCell="B8" sqref="B8"/>
    </sheetView>
  </sheetViews>
  <sheetFormatPr defaultColWidth="9.21875" defaultRowHeight="14.4"/>
  <cols>
    <col min="1" max="1" width="10.44140625" style="448" customWidth="1"/>
    <col min="2" max="3" width="9.21875" style="448"/>
    <col min="4" max="4" width="41.5546875" style="448" customWidth="1"/>
    <col min="5" max="5" width="9.5546875" style="448" bestFit="1" customWidth="1"/>
    <col min="6" max="16384" width="9.21875" style="448"/>
  </cols>
  <sheetData>
    <row r="1" spans="1:5" s="493" customFormat="1" ht="17.399999999999999">
      <c r="A1" s="523" t="s">
        <v>1399</v>
      </c>
    </row>
    <row r="2" spans="1:5" s="493" customFormat="1" ht="15.6">
      <c r="A2" s="522" t="s">
        <v>291</v>
      </c>
    </row>
    <row r="3" spans="1:5" s="493" customFormat="1" ht="15.6">
      <c r="A3" s="522" t="s">
        <v>1398</v>
      </c>
    </row>
    <row r="4" spans="1:5" s="493" customFormat="1"/>
    <row r="5" spans="1:5" s="493" customFormat="1" ht="15.6">
      <c r="A5" s="494" t="s">
        <v>1397</v>
      </c>
    </row>
    <row r="6" spans="1:5" s="493" customFormat="1" ht="15.6">
      <c r="A6" s="494"/>
    </row>
    <row r="7" spans="1:5" s="493" customFormat="1" ht="15.6">
      <c r="A7" s="793" t="s">
        <v>1396</v>
      </c>
      <c r="B7" s="792"/>
      <c r="C7" s="792"/>
      <c r="D7" s="792"/>
      <c r="E7" s="794">
        <v>35</v>
      </c>
    </row>
    <row r="8" spans="1:5" s="493" customFormat="1" ht="15.6">
      <c r="A8" s="793" t="s">
        <v>1395</v>
      </c>
      <c r="B8" s="792"/>
      <c r="C8" s="792"/>
      <c r="D8" s="792"/>
      <c r="E8" s="802">
        <v>1000000</v>
      </c>
    </row>
    <row r="9" spans="1:5" s="493" customFormat="1" ht="15.6">
      <c r="A9" s="793" t="s">
        <v>1394</v>
      </c>
      <c r="B9" s="792"/>
      <c r="C9" s="792"/>
      <c r="D9" s="792"/>
      <c r="E9" s="802">
        <v>5000</v>
      </c>
    </row>
    <row r="10" spans="1:5" s="493" customFormat="1" ht="15.6">
      <c r="A10" s="793" t="s">
        <v>1393</v>
      </c>
      <c r="B10" s="792"/>
      <c r="C10" s="792"/>
      <c r="D10" s="792"/>
      <c r="E10" s="802">
        <v>7500</v>
      </c>
    </row>
    <row r="11" spans="1:5" s="493" customFormat="1" ht="15.6">
      <c r="A11" s="793" t="s">
        <v>1392</v>
      </c>
      <c r="B11" s="792"/>
      <c r="C11" s="792"/>
      <c r="D11" s="792"/>
      <c r="E11" s="802">
        <v>34350</v>
      </c>
    </row>
    <row r="12" spans="1:5" s="493" customFormat="1" ht="15.6">
      <c r="A12" s="793" t="s">
        <v>1391</v>
      </c>
      <c r="B12" s="792"/>
      <c r="C12" s="792"/>
      <c r="D12" s="792"/>
      <c r="E12" s="792"/>
    </row>
    <row r="13" spans="1:5" s="493" customFormat="1" ht="16.2" thickBot="1">
      <c r="A13" s="568"/>
    </row>
    <row r="14" spans="1:5" s="493" customFormat="1" ht="18.600000000000001" thickBot="1">
      <c r="A14" s="801"/>
      <c r="B14" s="550" t="s">
        <v>1390</v>
      </c>
      <c r="C14" s="550" t="s">
        <v>1389</v>
      </c>
    </row>
    <row r="15" spans="1:5" s="493" customFormat="1" ht="16.2" thickBot="1">
      <c r="A15" s="569">
        <v>35</v>
      </c>
      <c r="B15" s="800">
        <v>9.6530000000000005E-2</v>
      </c>
      <c r="C15" s="800">
        <v>18.972799999999999</v>
      </c>
    </row>
    <row r="16" spans="1:5" s="493" customFormat="1" ht="16.2" thickBot="1">
      <c r="A16" s="569">
        <v>36</v>
      </c>
      <c r="B16" s="800">
        <v>0.10101</v>
      </c>
      <c r="C16" s="800">
        <v>18.878799999999998</v>
      </c>
    </row>
    <row r="17" spans="1:3" s="493" customFormat="1" ht="16.2" thickBot="1">
      <c r="A17" s="569">
        <v>37</v>
      </c>
      <c r="B17" s="800">
        <v>0.10569000000000001</v>
      </c>
      <c r="C17" s="800">
        <v>18.7805</v>
      </c>
    </row>
    <row r="18" spans="1:3" s="493" customFormat="1" ht="16.2" thickBot="1">
      <c r="A18" s="569">
        <v>38</v>
      </c>
      <c r="B18" s="800">
        <v>0.11058999999999999</v>
      </c>
      <c r="C18" s="800">
        <v>18.677700000000002</v>
      </c>
    </row>
    <row r="19" spans="1:3" s="493" customFormat="1" ht="16.2" thickBot="1">
      <c r="A19" s="569">
        <v>39</v>
      </c>
      <c r="B19" s="800">
        <v>0.11570999999999999</v>
      </c>
      <c r="C19" s="800">
        <v>18.5701</v>
      </c>
    </row>
    <row r="20" spans="1:3" s="493" customFormat="1" ht="16.2" thickBot="1">
      <c r="A20" s="569">
        <v>40</v>
      </c>
      <c r="B20" s="800">
        <v>0.12106</v>
      </c>
      <c r="C20" s="800">
        <v>18.457799999999999</v>
      </c>
    </row>
    <row r="21" spans="1:3" s="493" customFormat="1" ht="15.6">
      <c r="A21" s="494"/>
    </row>
    <row r="22" spans="1:3" s="493" customFormat="1" ht="15.6">
      <c r="A22" s="762" t="s">
        <v>739</v>
      </c>
      <c r="B22" s="762" t="s">
        <v>1388</v>
      </c>
    </row>
    <row r="23" spans="1:3" ht="15.6">
      <c r="A23" s="756" t="s">
        <v>24</v>
      </c>
    </row>
    <row r="24" spans="1:3" ht="15.6">
      <c r="A24" s="756"/>
    </row>
    <row r="25" spans="1:3" ht="15.6">
      <c r="A25" s="756"/>
    </row>
    <row r="26" spans="1:3" ht="15.6">
      <c r="A26" s="756"/>
    </row>
    <row r="27" spans="1:3" ht="15.6">
      <c r="A27" s="756"/>
    </row>
    <row r="28" spans="1:3" ht="15.6">
      <c r="A28" s="756"/>
    </row>
    <row r="29" spans="1:3" ht="15.6">
      <c r="A29" s="756"/>
    </row>
    <row r="30" spans="1:3" ht="15.6">
      <c r="A30" s="756"/>
    </row>
    <row r="31" spans="1:3" ht="15.6">
      <c r="A31" s="756"/>
    </row>
    <row r="32" spans="1:3" ht="15.6">
      <c r="A32" s="756"/>
    </row>
    <row r="33" spans="1:2" ht="15.6">
      <c r="A33" s="756"/>
    </row>
    <row r="34" spans="1:2" ht="15.6">
      <c r="A34" s="492"/>
    </row>
    <row r="35" spans="1:2" s="493" customFormat="1" ht="15.6">
      <c r="A35" s="775" t="s">
        <v>1387</v>
      </c>
      <c r="B35" s="762" t="s">
        <v>1386</v>
      </c>
    </row>
    <row r="36" spans="1:2" s="493" customFormat="1" ht="15.6">
      <c r="A36" s="799"/>
    </row>
    <row r="37" spans="1:2" s="493" customFormat="1" ht="15.6">
      <c r="A37" s="799" t="s">
        <v>1385</v>
      </c>
    </row>
    <row r="38" spans="1:2" ht="15.6">
      <c r="A38" s="756" t="s">
        <v>24</v>
      </c>
    </row>
    <row r="39" spans="1:2" ht="15.6">
      <c r="A39" s="756"/>
    </row>
    <row r="40" spans="1:2" ht="15.6">
      <c r="A40" s="756"/>
    </row>
    <row r="41" spans="1:2" ht="15.6">
      <c r="A41" s="756"/>
    </row>
    <row r="42" spans="1:2" ht="15.6">
      <c r="A42" s="756"/>
    </row>
    <row r="43" spans="1:2" ht="15.6">
      <c r="A43" s="756"/>
    </row>
    <row r="44" spans="1:2" ht="15.6">
      <c r="A44" s="798"/>
    </row>
    <row r="45" spans="1:2" s="493" customFormat="1" ht="15.6">
      <c r="A45" s="799" t="s">
        <v>1384</v>
      </c>
    </row>
    <row r="46" spans="1:2" ht="15.6">
      <c r="A46" s="756" t="s">
        <v>24</v>
      </c>
    </row>
    <row r="47" spans="1:2" ht="15.6">
      <c r="A47" s="756"/>
    </row>
    <row r="48" spans="1:2" ht="15.6">
      <c r="A48" s="756"/>
    </row>
    <row r="49" spans="1:2" ht="15.6">
      <c r="A49" s="756"/>
    </row>
    <row r="50" spans="1:2" ht="15.6">
      <c r="A50" s="756"/>
    </row>
    <row r="51" spans="1:2" ht="15.6">
      <c r="A51" s="798"/>
    </row>
    <row r="52" spans="1:2" s="493" customFormat="1" ht="15.6">
      <c r="A52" s="797" t="s">
        <v>1383</v>
      </c>
    </row>
    <row r="53" spans="1:2" ht="15.6">
      <c r="A53" s="756" t="s">
        <v>24</v>
      </c>
    </row>
    <row r="54" spans="1:2" ht="15.6">
      <c r="A54" s="756"/>
    </row>
    <row r="55" spans="1:2" ht="15.6">
      <c r="A55" s="756"/>
    </row>
    <row r="56" spans="1:2" ht="15.6">
      <c r="A56" s="756"/>
    </row>
    <row r="57" spans="1:2" ht="15.6">
      <c r="A57" s="756"/>
    </row>
    <row r="58" spans="1:2" ht="15.6">
      <c r="A58" s="756"/>
    </row>
    <row r="59" spans="1:2" ht="15.6">
      <c r="A59" s="761"/>
    </row>
    <row r="60" spans="1:2" s="493" customFormat="1" ht="15.6">
      <c r="A60" s="796" t="s">
        <v>1382</v>
      </c>
      <c r="B60" s="795" t="s">
        <v>1381</v>
      </c>
    </row>
    <row r="61" spans="1:2" ht="15.6">
      <c r="A61" s="756" t="s">
        <v>24</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A0231-6347-4C1F-99C2-76DC2C524716}">
  <sheetPr>
    <tabColor rgb="FFFF0000"/>
  </sheetPr>
  <dimension ref="A1:G70"/>
  <sheetViews>
    <sheetView workbookViewId="0">
      <selection sqref="A1:XFD1048576"/>
    </sheetView>
  </sheetViews>
  <sheetFormatPr defaultColWidth="9.21875" defaultRowHeight="14.4"/>
  <cols>
    <col min="1" max="1" width="14.77734375" style="727" customWidth="1"/>
    <col min="2" max="5" width="9.21875" style="727"/>
    <col min="6" max="6" width="15.21875" style="727" customWidth="1"/>
    <col min="7" max="16384" width="9.21875" style="727"/>
  </cols>
  <sheetData>
    <row r="1" spans="1:7" s="729" customFormat="1" ht="17.399999999999999">
      <c r="A1" s="730" t="s">
        <v>1412</v>
      </c>
    </row>
    <row r="2" spans="1:7" s="729" customFormat="1" ht="15.6">
      <c r="A2" s="731" t="s">
        <v>226</v>
      </c>
    </row>
    <row r="3" spans="1:7" s="729" customFormat="1" ht="15.6">
      <c r="A3" s="731" t="s">
        <v>1411</v>
      </c>
    </row>
    <row r="4" spans="1:7" s="729" customFormat="1"/>
    <row r="5" spans="1:7" s="729" customFormat="1" ht="15.6">
      <c r="A5" s="863" t="s">
        <v>1464</v>
      </c>
    </row>
    <row r="6" spans="1:7" s="729" customFormat="1" ht="15.6">
      <c r="A6" s="739" t="s">
        <v>1465</v>
      </c>
      <c r="G6" s="864">
        <v>1000000</v>
      </c>
    </row>
    <row r="7" spans="1:7" s="729" customFormat="1" ht="15.6">
      <c r="A7" s="739" t="s">
        <v>1466</v>
      </c>
      <c r="G7" s="865">
        <v>45</v>
      </c>
    </row>
    <row r="8" spans="1:7" s="729" customFormat="1" ht="15.6">
      <c r="A8" s="739" t="s">
        <v>1467</v>
      </c>
      <c r="G8" s="866">
        <v>0.03</v>
      </c>
    </row>
    <row r="9" spans="1:7" s="729" customFormat="1" ht="15.6">
      <c r="A9" s="739" t="s">
        <v>1468</v>
      </c>
      <c r="G9" s="866">
        <v>0.02</v>
      </c>
    </row>
    <row r="10" spans="1:7" s="729" customFormat="1" ht="15.6">
      <c r="A10" s="739" t="s">
        <v>1469</v>
      </c>
      <c r="G10" s="865">
        <v>500</v>
      </c>
    </row>
    <row r="11" spans="1:7" s="729" customFormat="1" ht="15.6">
      <c r="A11" s="739" t="s">
        <v>1470</v>
      </c>
      <c r="G11" s="866">
        <v>0.06</v>
      </c>
    </row>
    <row r="12" spans="1:7" s="729" customFormat="1" ht="15.6">
      <c r="A12" s="740"/>
    </row>
    <row r="13" spans="1:7" s="729" customFormat="1" ht="15.6">
      <c r="A13" s="728" t="s">
        <v>1410</v>
      </c>
    </row>
    <row r="14" spans="1:7" s="729" customFormat="1" ht="16.2" thickBot="1">
      <c r="A14" s="728"/>
    </row>
    <row r="15" spans="1:7" s="729" customFormat="1" ht="16.2" thickBot="1">
      <c r="A15" s="742" t="s">
        <v>1409</v>
      </c>
      <c r="B15" s="867">
        <v>0.02</v>
      </c>
      <c r="C15" s="867">
        <v>0.03</v>
      </c>
      <c r="D15" s="867">
        <v>0.04</v>
      </c>
    </row>
    <row r="16" spans="1:7" s="729" customFormat="1" ht="36" customHeight="1" thickBot="1">
      <c r="A16" s="743" t="s">
        <v>1287</v>
      </c>
      <c r="B16" s="746">
        <v>455245</v>
      </c>
      <c r="C16" s="746">
        <v>314082</v>
      </c>
      <c r="D16" s="746">
        <v>220086</v>
      </c>
    </row>
    <row r="17" spans="1:4" s="729" customFormat="1" ht="27" customHeight="1" thickBot="1">
      <c r="A17" s="743" t="s">
        <v>508</v>
      </c>
      <c r="B17" s="746">
        <v>4568</v>
      </c>
      <c r="C17" s="746">
        <v>4381</v>
      </c>
      <c r="D17" s="746">
        <v>4206</v>
      </c>
    </row>
    <row r="18" spans="1:4" s="729" customFormat="1" ht="18.600000000000001" thickBot="1">
      <c r="A18" s="743" t="s">
        <v>1471</v>
      </c>
      <c r="B18" s="745">
        <v>27.1</v>
      </c>
      <c r="C18" s="745">
        <v>22.78</v>
      </c>
      <c r="D18" s="745">
        <v>19.45</v>
      </c>
    </row>
    <row r="19" spans="1:4" s="729" customFormat="1" ht="15.6">
      <c r="A19" s="728"/>
    </row>
    <row r="20" spans="1:4" s="729" customFormat="1" ht="15.6">
      <c r="A20" s="741" t="s">
        <v>1472</v>
      </c>
    </row>
    <row r="21" spans="1:4" ht="15.6">
      <c r="A21" s="862" t="s">
        <v>24</v>
      </c>
    </row>
    <row r="22" spans="1:4" ht="15.6">
      <c r="A22" s="726"/>
    </row>
    <row r="23" spans="1:4" ht="15.6">
      <c r="A23" s="726"/>
    </row>
    <row r="24" spans="1:4" ht="15.6">
      <c r="A24" s="726"/>
    </row>
    <row r="25" spans="1:4" ht="15.6">
      <c r="A25" s="726"/>
    </row>
    <row r="26" spans="1:4" ht="15.6">
      <c r="A26" s="726"/>
    </row>
    <row r="27" spans="1:4" ht="15.6">
      <c r="A27" s="726"/>
    </row>
    <row r="28" spans="1:4" ht="15.6">
      <c r="A28" s="726"/>
    </row>
    <row r="29" spans="1:4" ht="15.6">
      <c r="A29" s="726"/>
    </row>
    <row r="30" spans="1:4" ht="15.6">
      <c r="A30" s="726"/>
    </row>
    <row r="31" spans="1:4" s="729" customFormat="1" ht="15.6">
      <c r="A31" s="741" t="s">
        <v>1473</v>
      </c>
    </row>
    <row r="32" spans="1:4" ht="15.6">
      <c r="A32" s="862" t="s">
        <v>24</v>
      </c>
    </row>
    <row r="33" spans="1:2" ht="15.6">
      <c r="A33" s="862"/>
    </row>
    <row r="34" spans="1:2" ht="15.6">
      <c r="A34" s="862"/>
    </row>
    <row r="35" spans="1:2" ht="15.6">
      <c r="A35" s="862"/>
    </row>
    <row r="36" spans="1:2" ht="15.6">
      <c r="A36" s="862"/>
    </row>
    <row r="37" spans="1:2" ht="15.6">
      <c r="A37" s="862"/>
    </row>
    <row r="38" spans="1:2" ht="15.6">
      <c r="A38" s="862"/>
    </row>
    <row r="39" spans="1:2" ht="15.6">
      <c r="A39" s="868"/>
    </row>
    <row r="40" spans="1:2" ht="15.6">
      <c r="A40" s="726"/>
    </row>
    <row r="41" spans="1:2" ht="15.6">
      <c r="A41" s="869"/>
    </row>
    <row r="42" spans="1:2" s="729" customFormat="1" ht="15.6">
      <c r="A42" s="863" t="s">
        <v>739</v>
      </c>
      <c r="B42" s="870" t="s">
        <v>1474</v>
      </c>
    </row>
    <row r="43" spans="1:2" s="729" customFormat="1" ht="16.2" thickBot="1">
      <c r="A43" s="741"/>
    </row>
    <row r="44" spans="1:2" s="729" customFormat="1" ht="16.2" thickBot="1">
      <c r="A44" s="742" t="s">
        <v>1408</v>
      </c>
      <c r="B44" s="871">
        <v>10000</v>
      </c>
    </row>
    <row r="45" spans="1:2" s="729" customFormat="1" ht="16.2" thickBot="1">
      <c r="A45" s="743" t="s">
        <v>1407</v>
      </c>
      <c r="B45" s="746">
        <v>120000</v>
      </c>
    </row>
    <row r="46" spans="1:2" s="729" customFormat="1" ht="23.1" customHeight="1" thickBot="1">
      <c r="A46" s="743" t="s">
        <v>1406</v>
      </c>
      <c r="B46" s="746">
        <v>28000</v>
      </c>
    </row>
    <row r="47" spans="1:2" s="729" customFormat="1" ht="16.2" thickBot="1">
      <c r="A47" s="728"/>
    </row>
    <row r="48" spans="1:2" s="729" customFormat="1" ht="20.55" customHeight="1" thickBot="1">
      <c r="A48" s="742" t="s">
        <v>1405</v>
      </c>
      <c r="B48" s="747"/>
    </row>
    <row r="49" spans="1:2" s="729" customFormat="1" ht="16.2" thickBot="1">
      <c r="A49" s="743" t="s">
        <v>3</v>
      </c>
      <c r="B49" s="746">
        <v>20000</v>
      </c>
    </row>
    <row r="50" spans="1:2" s="729" customFormat="1" ht="16.2" thickBot="1">
      <c r="A50" s="743" t="s">
        <v>79</v>
      </c>
      <c r="B50" s="746">
        <v>30000</v>
      </c>
    </row>
    <row r="51" spans="1:2" s="729" customFormat="1" ht="16.2" thickBot="1">
      <c r="A51" s="743" t="s">
        <v>80</v>
      </c>
      <c r="B51" s="746">
        <v>50000</v>
      </c>
    </row>
    <row r="52" spans="1:2" s="729" customFormat="1" ht="16.2" thickBot="1">
      <c r="A52" s="743" t="s">
        <v>1404</v>
      </c>
      <c r="B52" s="745">
        <v>0</v>
      </c>
    </row>
    <row r="53" spans="1:2" s="729" customFormat="1" ht="15.6">
      <c r="A53" s="755"/>
    </row>
    <row r="54" spans="1:2" s="729" customFormat="1" ht="15.6">
      <c r="A54" s="872" t="s">
        <v>1475</v>
      </c>
    </row>
    <row r="55" spans="1:2" s="729" customFormat="1" ht="15.6">
      <c r="A55" s="872" t="s">
        <v>1476</v>
      </c>
    </row>
    <row r="56" spans="1:2" s="729" customFormat="1" ht="15.6">
      <c r="A56" s="872" t="s">
        <v>1477</v>
      </c>
    </row>
    <row r="57" spans="1:2" s="729" customFormat="1" ht="15.6">
      <c r="A57" s="872" t="s">
        <v>1478</v>
      </c>
    </row>
    <row r="58" spans="1:2" s="729" customFormat="1" ht="15.6">
      <c r="A58" s="741"/>
    </row>
    <row r="59" spans="1:2" s="729" customFormat="1" ht="15.6">
      <c r="A59" s="873" t="s">
        <v>1403</v>
      </c>
      <c r="B59" s="870" t="s">
        <v>1402</v>
      </c>
    </row>
    <row r="60" spans="1:2" ht="15.6">
      <c r="A60" s="862" t="s">
        <v>24</v>
      </c>
      <c r="B60" s="750"/>
    </row>
    <row r="61" spans="1:2" ht="15.6">
      <c r="A61" s="874"/>
      <c r="B61" s="750"/>
    </row>
    <row r="62" spans="1:2" ht="15.6">
      <c r="A62" s="874"/>
      <c r="B62" s="750"/>
    </row>
    <row r="63" spans="1:2" ht="15.6">
      <c r="A63" s="874"/>
      <c r="B63" s="750"/>
    </row>
    <row r="64" spans="1:2" ht="15.6">
      <c r="A64" s="874"/>
      <c r="B64" s="750"/>
    </row>
    <row r="65" spans="1:2" ht="15.6">
      <c r="A65" s="874"/>
      <c r="B65" s="750"/>
    </row>
    <row r="66" spans="1:2" ht="15.6">
      <c r="A66" s="874"/>
      <c r="B66" s="750"/>
    </row>
    <row r="67" spans="1:2" ht="15.6">
      <c r="A67" s="750"/>
    </row>
    <row r="68" spans="1:2" ht="15.6">
      <c r="A68" s="750"/>
    </row>
    <row r="69" spans="1:2" s="729" customFormat="1" ht="15.6">
      <c r="A69" s="873" t="s">
        <v>1401</v>
      </c>
      <c r="B69" s="870" t="s">
        <v>1400</v>
      </c>
    </row>
    <row r="70" spans="1:2" ht="15.6">
      <c r="A70" s="862" t="s">
        <v>24</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C796-8952-4074-BD53-3E7509E01DF2}">
  <sheetPr>
    <tabColor rgb="FFFF0000"/>
  </sheetPr>
  <dimension ref="A1:F24"/>
  <sheetViews>
    <sheetView workbookViewId="0">
      <selection sqref="A1:XFD1048576"/>
    </sheetView>
  </sheetViews>
  <sheetFormatPr defaultColWidth="9.21875" defaultRowHeight="14.4"/>
  <cols>
    <col min="1" max="1" width="24.77734375" style="727" customWidth="1"/>
    <col min="2" max="2" width="21.21875" style="727" customWidth="1"/>
    <col min="3" max="16384" width="9.21875" style="727"/>
  </cols>
  <sheetData>
    <row r="1" spans="1:6" s="729" customFormat="1" ht="17.399999999999999">
      <c r="A1" s="730" t="s">
        <v>1421</v>
      </c>
    </row>
    <row r="2" spans="1:6" s="729" customFormat="1" ht="15.6">
      <c r="A2" s="731" t="s">
        <v>291</v>
      </c>
    </row>
    <row r="3" spans="1:6" s="729" customFormat="1" ht="15.6">
      <c r="A3" s="731" t="s">
        <v>576</v>
      </c>
    </row>
    <row r="4" spans="1:6" s="729" customFormat="1"/>
    <row r="5" spans="1:6" s="729" customFormat="1" ht="15.6">
      <c r="A5" s="870" t="s">
        <v>1479</v>
      </c>
    </row>
    <row r="6" spans="1:6" s="729" customFormat="1" ht="15.6">
      <c r="A6" s="728"/>
    </row>
    <row r="7" spans="1:6" s="729" customFormat="1" ht="15.6">
      <c r="A7" s="875" t="s">
        <v>1480</v>
      </c>
    </row>
    <row r="8" spans="1:6" s="729" customFormat="1" ht="15.6">
      <c r="A8" s="875" t="s">
        <v>1481</v>
      </c>
    </row>
    <row r="9" spans="1:6" s="729" customFormat="1" ht="15.6">
      <c r="A9" s="875" t="s">
        <v>1482</v>
      </c>
    </row>
    <row r="10" spans="1:6" s="729" customFormat="1" ht="16.2" thickBot="1">
      <c r="A10" s="741"/>
    </row>
    <row r="11" spans="1:6" s="729" customFormat="1" ht="16.2" thickBot="1">
      <c r="A11" s="876" t="s">
        <v>1420</v>
      </c>
      <c r="B11" s="877">
        <v>1000000</v>
      </c>
    </row>
    <row r="12" spans="1:6" s="729" customFormat="1" ht="16.2" thickBot="1">
      <c r="A12" s="753" t="s">
        <v>1419</v>
      </c>
      <c r="B12" s="878">
        <v>0.03</v>
      </c>
    </row>
    <row r="13" spans="1:6" s="729" customFormat="1" ht="16.2" thickBot="1">
      <c r="A13" s="753" t="s">
        <v>1418</v>
      </c>
      <c r="B13" s="879" t="s">
        <v>1417</v>
      </c>
    </row>
    <row r="14" spans="1:6" s="729" customFormat="1" ht="16.2" thickBot="1">
      <c r="A14" s="728"/>
    </row>
    <row r="15" spans="1:6" s="729" customFormat="1" ht="16.2" thickBot="1">
      <c r="A15" s="876" t="s">
        <v>374</v>
      </c>
      <c r="B15" s="880">
        <v>2021</v>
      </c>
      <c r="C15" s="880">
        <v>2022</v>
      </c>
      <c r="D15" s="880">
        <v>2023</v>
      </c>
      <c r="E15" s="880">
        <v>2024</v>
      </c>
      <c r="F15" s="880">
        <v>2025</v>
      </c>
    </row>
    <row r="16" spans="1:6" s="729" customFormat="1" ht="16.2" thickBot="1">
      <c r="A16" s="753" t="s">
        <v>166</v>
      </c>
      <c r="B16" s="881">
        <v>5750</v>
      </c>
      <c r="C16" s="881">
        <v>5750</v>
      </c>
      <c r="D16" s="881">
        <v>5750</v>
      </c>
      <c r="E16" s="881">
        <v>5750</v>
      </c>
      <c r="F16" s="881">
        <v>5750</v>
      </c>
    </row>
    <row r="17" spans="1:6" s="729" customFormat="1" ht="16.2" thickBot="1">
      <c r="A17" s="753" t="s">
        <v>906</v>
      </c>
      <c r="B17" s="879">
        <v>575</v>
      </c>
      <c r="C17" s="879">
        <v>575</v>
      </c>
      <c r="D17" s="879">
        <v>575</v>
      </c>
      <c r="E17" s="879">
        <v>575</v>
      </c>
      <c r="F17" s="879">
        <v>575</v>
      </c>
    </row>
    <row r="18" spans="1:6" s="729" customFormat="1" ht="16.2" thickBot="1">
      <c r="A18" s="753" t="s">
        <v>1416</v>
      </c>
      <c r="B18" s="881">
        <v>4000</v>
      </c>
      <c r="C18" s="881">
        <v>4320</v>
      </c>
      <c r="D18" s="881">
        <v>4666</v>
      </c>
      <c r="E18" s="881">
        <v>5039</v>
      </c>
      <c r="F18" s="881">
        <v>5442</v>
      </c>
    </row>
    <row r="19" spans="1:6" s="729" customFormat="1" ht="16.2" thickBot="1">
      <c r="A19" s="753" t="s">
        <v>168</v>
      </c>
      <c r="B19" s="879">
        <v>115</v>
      </c>
      <c r="C19" s="879">
        <v>115</v>
      </c>
      <c r="D19" s="879">
        <v>115</v>
      </c>
      <c r="E19" s="879">
        <v>115</v>
      </c>
      <c r="F19" s="879">
        <v>115</v>
      </c>
    </row>
    <row r="20" spans="1:6" s="729" customFormat="1" ht="16.2" thickBot="1">
      <c r="A20" s="753" t="s">
        <v>1415</v>
      </c>
      <c r="B20" s="882">
        <v>0.05</v>
      </c>
      <c r="C20" s="882">
        <v>4.8000000000000001E-2</v>
      </c>
      <c r="D20" s="882">
        <v>4.4999999999999998E-2</v>
      </c>
      <c r="E20" s="882">
        <v>4.2999999999999997E-2</v>
      </c>
      <c r="F20" s="882">
        <v>4.1000000000000002E-2</v>
      </c>
    </row>
    <row r="21" spans="1:6" s="729" customFormat="1" ht="16.2" thickBot="1">
      <c r="A21" s="753" t="s">
        <v>1414</v>
      </c>
      <c r="B21" s="879">
        <v>5.0000000000000001E-3</v>
      </c>
      <c r="C21" s="879">
        <v>5.4999999999999997E-3</v>
      </c>
      <c r="D21" s="879">
        <v>6.1000000000000004E-3</v>
      </c>
      <c r="E21" s="879">
        <v>6.7000000000000002E-3</v>
      </c>
      <c r="F21" s="879">
        <v>7.3000000000000001E-3</v>
      </c>
    </row>
    <row r="22" spans="1:6" s="729" customFormat="1" ht="15.6">
      <c r="A22" s="728"/>
    </row>
    <row r="23" spans="1:6" s="729" customFormat="1" ht="15.6">
      <c r="A23" s="728" t="s">
        <v>1413</v>
      </c>
    </row>
    <row r="24" spans="1:6" ht="15.6">
      <c r="A24" s="862" t="s">
        <v>24</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06571-3B7E-4E33-8DF0-583122E0F854}">
  <sheetPr>
    <tabColor theme="3"/>
  </sheetPr>
  <dimension ref="A1"/>
  <sheetViews>
    <sheetView workbookViewId="0">
      <selection activeCell="K15" sqref="K15"/>
    </sheetView>
  </sheetViews>
  <sheetFormatPr defaultRowHeight="13.2"/>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C4E50-3D54-41C1-B950-D35E94921235}">
  <sheetPr>
    <tabColor rgb="FFFF0000"/>
  </sheetPr>
  <dimension ref="A1:J42"/>
  <sheetViews>
    <sheetView workbookViewId="0">
      <selection sqref="A1:XFD1048576"/>
    </sheetView>
  </sheetViews>
  <sheetFormatPr defaultColWidth="9.21875" defaultRowHeight="14.4"/>
  <cols>
    <col min="1" max="1" width="37.21875" style="727" customWidth="1"/>
    <col min="2" max="2" width="16.21875" style="727" customWidth="1"/>
    <col min="3" max="3" width="15.77734375" style="727" customWidth="1"/>
    <col min="4" max="16384" width="9.21875" style="727"/>
  </cols>
  <sheetData>
    <row r="1" spans="1:10" s="729" customFormat="1" ht="17.399999999999999">
      <c r="A1" s="730" t="s">
        <v>1495</v>
      </c>
    </row>
    <row r="2" spans="1:10" s="729" customFormat="1" ht="15.6">
      <c r="A2" s="731" t="s">
        <v>1494</v>
      </c>
    </row>
    <row r="3" spans="1:10" s="729" customFormat="1" ht="15.6">
      <c r="A3" s="731" t="s">
        <v>1493</v>
      </c>
      <c r="B3" s="974"/>
      <c r="C3" s="974"/>
      <c r="D3" s="974"/>
      <c r="E3" s="974"/>
      <c r="F3" s="974"/>
      <c r="G3" s="974"/>
      <c r="H3" s="974"/>
      <c r="I3" s="974"/>
      <c r="J3" s="974"/>
    </row>
    <row r="4" spans="1:10" s="729" customFormat="1" ht="15.6">
      <c r="A4" s="728" t="s">
        <v>1492</v>
      </c>
    </row>
    <row r="5" spans="1:10" s="729" customFormat="1" ht="16.2" thickBot="1">
      <c r="A5" s="728"/>
    </row>
    <row r="6" spans="1:10" s="729" customFormat="1" ht="16.2" thickBot="1">
      <c r="A6" s="1134" t="s">
        <v>1491</v>
      </c>
      <c r="B6" s="1135"/>
      <c r="C6" s="1136"/>
    </row>
    <row r="7" spans="1:10" s="729" customFormat="1" ht="16.2" thickBot="1">
      <c r="A7" s="753"/>
      <c r="B7" s="975" t="s">
        <v>1490</v>
      </c>
      <c r="C7" s="975" t="s">
        <v>1489</v>
      </c>
    </row>
    <row r="8" spans="1:10" s="729" customFormat="1" ht="16.2" thickBot="1">
      <c r="A8" s="753" t="s">
        <v>1488</v>
      </c>
      <c r="B8" s="976">
        <v>100</v>
      </c>
      <c r="C8" s="976">
        <v>100</v>
      </c>
    </row>
    <row r="9" spans="1:10" s="729" customFormat="1" ht="16.2" thickBot="1">
      <c r="A9" s="753" t="s">
        <v>1487</v>
      </c>
      <c r="B9" s="976">
        <v>325</v>
      </c>
      <c r="C9" s="976">
        <v>325</v>
      </c>
    </row>
    <row r="10" spans="1:10" s="729" customFormat="1" ht="16.2" thickBot="1">
      <c r="A10" s="753" t="s">
        <v>1486</v>
      </c>
      <c r="B10" s="976">
        <v>300</v>
      </c>
      <c r="C10" s="976">
        <v>300</v>
      </c>
    </row>
    <row r="11" spans="1:10" s="729" customFormat="1" ht="16.2" thickBot="1">
      <c r="A11" s="753" t="s">
        <v>809</v>
      </c>
      <c r="B11" s="976">
        <v>2E-3</v>
      </c>
      <c r="C11" s="976">
        <v>3.0000000000000001E-3</v>
      </c>
    </row>
    <row r="12" spans="1:10" s="729" customFormat="1" ht="16.2" thickBot="1">
      <c r="A12" s="753" t="s">
        <v>1485</v>
      </c>
      <c r="B12" s="977">
        <v>0.04</v>
      </c>
      <c r="C12" s="977">
        <v>4.2500000000000003E-2</v>
      </c>
    </row>
    <row r="13" spans="1:10" s="729" customFormat="1" ht="16.2" thickBot="1">
      <c r="A13" s="753" t="s">
        <v>1484</v>
      </c>
      <c r="B13" s="978">
        <v>0.02</v>
      </c>
      <c r="C13" s="978">
        <v>0</v>
      </c>
    </row>
    <row r="14" spans="1:10" s="729" customFormat="1" ht="16.2" thickBot="1">
      <c r="A14" s="753" t="s">
        <v>1483</v>
      </c>
      <c r="B14" s="976">
        <v>15</v>
      </c>
      <c r="C14" s="976">
        <v>8</v>
      </c>
    </row>
    <row r="15" spans="1:10" s="729" customFormat="1" ht="15.6">
      <c r="A15" s="728"/>
    </row>
    <row r="16" spans="1:10" s="729" customFormat="1" ht="15.6">
      <c r="A16" s="728" t="s">
        <v>68</v>
      </c>
    </row>
    <row r="17" spans="1:1" s="729" customFormat="1" ht="15.6">
      <c r="A17" s="728"/>
    </row>
    <row r="18" spans="1:1" s="729" customFormat="1" ht="15.6">
      <c r="A18" s="979" t="s">
        <v>1608</v>
      </c>
    </row>
    <row r="19" spans="1:1" s="729" customFormat="1" ht="15.6">
      <c r="A19" s="979" t="s">
        <v>1609</v>
      </c>
    </row>
    <row r="20" spans="1:1" s="729" customFormat="1" ht="15.6">
      <c r="A20" s="979" t="s">
        <v>1610</v>
      </c>
    </row>
    <row r="21" spans="1:1" s="729" customFormat="1" ht="15.6">
      <c r="A21" s="979" t="s">
        <v>1611</v>
      </c>
    </row>
    <row r="22" spans="1:1" s="729" customFormat="1" ht="15.6">
      <c r="A22" s="979" t="s">
        <v>1612</v>
      </c>
    </row>
    <row r="23" spans="1:1" s="729" customFormat="1" ht="15.6">
      <c r="A23" s="979" t="s">
        <v>1613</v>
      </c>
    </row>
    <row r="24" spans="1:1" s="729" customFormat="1"/>
    <row r="25" spans="1:1" s="729" customFormat="1" ht="15.6">
      <c r="A25" s="741" t="s">
        <v>1614</v>
      </c>
    </row>
    <row r="26" spans="1:1" ht="15.6">
      <c r="A26" s="980" t="s">
        <v>24</v>
      </c>
    </row>
    <row r="41" spans="1:1" s="729" customFormat="1" ht="15.6">
      <c r="A41" s="981" t="s">
        <v>1615</v>
      </c>
    </row>
    <row r="42" spans="1:1" ht="15.6">
      <c r="A42" s="980" t="s">
        <v>24</v>
      </c>
    </row>
  </sheetData>
  <mergeCells count="1">
    <mergeCell ref="A6:C6"/>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E9BE0-BD7C-4072-91C6-B8D25842F5C1}">
  <dimension ref="A1:J28"/>
  <sheetViews>
    <sheetView topLeftCell="A9" workbookViewId="0"/>
  </sheetViews>
  <sheetFormatPr defaultColWidth="9.21875" defaultRowHeight="14.4"/>
  <cols>
    <col min="1" max="1" width="12.5546875" style="448" customWidth="1"/>
    <col min="2" max="2" width="14.44140625" style="448" customWidth="1"/>
    <col min="3" max="3" width="12.5546875" style="448" customWidth="1"/>
    <col min="4" max="16384" width="9.21875" style="448"/>
  </cols>
  <sheetData>
    <row r="1" spans="1:10" s="493" customFormat="1" ht="17.399999999999999">
      <c r="A1" s="523" t="s">
        <v>1508</v>
      </c>
    </row>
    <row r="2" spans="1:10" s="493" customFormat="1" ht="15.6">
      <c r="A2" s="522" t="s">
        <v>134</v>
      </c>
    </row>
    <row r="3" spans="1:10" s="493" customFormat="1" ht="15.6">
      <c r="A3" s="522" t="s">
        <v>426</v>
      </c>
      <c r="B3" s="884"/>
      <c r="C3" s="884"/>
      <c r="D3" s="884"/>
      <c r="E3" s="884"/>
      <c r="F3" s="884"/>
      <c r="G3" s="884"/>
      <c r="H3" s="884"/>
      <c r="I3" s="884"/>
      <c r="J3" s="884"/>
    </row>
    <row r="4" spans="1:10" s="493" customFormat="1" ht="15.6">
      <c r="A4" s="536" t="s">
        <v>1507</v>
      </c>
    </row>
    <row r="5" spans="1:10" s="493" customFormat="1" ht="15.6">
      <c r="A5" s="536"/>
    </row>
    <row r="6" spans="1:10" s="493" customFormat="1" ht="15.6">
      <c r="A6" s="888" t="s">
        <v>1506</v>
      </c>
    </row>
    <row r="7" spans="1:10" s="493" customFormat="1" ht="15.6">
      <c r="A7" s="888" t="s">
        <v>1505</v>
      </c>
    </row>
    <row r="8" spans="1:10" s="493" customFormat="1" ht="16.2" thickBot="1">
      <c r="A8" s="887"/>
    </row>
    <row r="9" spans="1:10" s="493" customFormat="1" ht="47.4" thickBot="1">
      <c r="A9" s="563"/>
      <c r="B9" s="886" t="s">
        <v>1504</v>
      </c>
      <c r="C9" s="886" t="s">
        <v>1503</v>
      </c>
      <c r="D9" s="886" t="s">
        <v>1502</v>
      </c>
    </row>
    <row r="10" spans="1:10" s="493" customFormat="1" ht="28.5" customHeight="1" thickBot="1">
      <c r="A10" s="885" t="s">
        <v>1499</v>
      </c>
      <c r="B10" s="758">
        <v>4000</v>
      </c>
      <c r="C10" s="758">
        <v>1000</v>
      </c>
      <c r="D10" s="758">
        <v>4500</v>
      </c>
    </row>
    <row r="11" spans="1:10" s="493" customFormat="1" ht="16.2" thickBot="1">
      <c r="A11" s="885" t="s">
        <v>137</v>
      </c>
      <c r="B11" s="758">
        <v>5000</v>
      </c>
      <c r="C11" s="758">
        <v>2000</v>
      </c>
      <c r="D11" s="758">
        <v>6000</v>
      </c>
    </row>
    <row r="12" spans="1:10" s="493" customFormat="1" ht="15.6">
      <c r="A12" s="887"/>
    </row>
    <row r="13" spans="1:10" s="493" customFormat="1" ht="15.6">
      <c r="A13" s="888" t="s">
        <v>1501</v>
      </c>
    </row>
    <row r="14" spans="1:10" s="493" customFormat="1" ht="16.2" thickBot="1">
      <c r="A14" s="887"/>
    </row>
    <row r="15" spans="1:10" s="493" customFormat="1" ht="53.1" customHeight="1" thickBot="1">
      <c r="A15" s="563"/>
      <c r="B15" s="886" t="s">
        <v>1500</v>
      </c>
    </row>
    <row r="16" spans="1:10" s="493" customFormat="1" ht="26.1" customHeight="1" thickBot="1">
      <c r="A16" s="885" t="s">
        <v>1499</v>
      </c>
      <c r="B16" s="758">
        <v>15000</v>
      </c>
    </row>
    <row r="17" spans="1:2" s="493" customFormat="1" ht="16.2" thickBot="1">
      <c r="A17" s="885" t="s">
        <v>137</v>
      </c>
      <c r="B17" s="758">
        <v>10000</v>
      </c>
    </row>
    <row r="18" spans="1:2" s="493" customFormat="1" ht="15.6">
      <c r="A18" s="536"/>
    </row>
    <row r="19" spans="1:2" s="493" customFormat="1" ht="15.6">
      <c r="A19" s="762" t="s">
        <v>1498</v>
      </c>
    </row>
    <row r="20" spans="1:2" s="493" customFormat="1" ht="15.6">
      <c r="A20" s="762" t="s">
        <v>1497</v>
      </c>
    </row>
    <row r="21" spans="1:2" ht="15.6">
      <c r="A21" s="756" t="s">
        <v>24</v>
      </c>
    </row>
    <row r="22" spans="1:2" ht="15.6">
      <c r="A22" s="495"/>
    </row>
    <row r="23" spans="1:2" ht="15.6">
      <c r="A23" s="495"/>
    </row>
    <row r="24" spans="1:2" ht="15.6">
      <c r="A24" s="495"/>
    </row>
    <row r="25" spans="1:2" ht="15.6">
      <c r="A25" s="495"/>
    </row>
    <row r="26" spans="1:2" ht="15.6">
      <c r="A26" s="495"/>
    </row>
    <row r="27" spans="1:2" s="493" customFormat="1" ht="15.6">
      <c r="A27" s="883" t="s">
        <v>1496</v>
      </c>
    </row>
    <row r="28" spans="1:2" ht="15.6">
      <c r="A28" s="756" t="s">
        <v>24</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6EA7D-790C-4E6F-A2AD-B4B220CD9243}">
  <sheetPr>
    <tabColor rgb="FFFF0000"/>
  </sheetPr>
  <dimension ref="A1:J16"/>
  <sheetViews>
    <sheetView workbookViewId="0">
      <selection activeCell="E15" sqref="E15"/>
    </sheetView>
  </sheetViews>
  <sheetFormatPr defaultColWidth="9.21875" defaultRowHeight="14.4"/>
  <cols>
    <col min="1" max="1" width="31.77734375" style="727" customWidth="1"/>
    <col min="2" max="3" width="9.21875" style="727"/>
    <col min="4" max="4" width="28.21875" style="727" customWidth="1"/>
    <col min="5" max="16384" width="9.21875" style="727"/>
  </cols>
  <sheetData>
    <row r="1" spans="1:10" s="729" customFormat="1" ht="17.399999999999999">
      <c r="A1" s="730" t="s">
        <v>84</v>
      </c>
    </row>
    <row r="2" spans="1:10" s="729" customFormat="1" ht="15.6">
      <c r="A2" s="731" t="s">
        <v>1006</v>
      </c>
    </row>
    <row r="3" spans="1:10" s="729" customFormat="1" ht="15.6">
      <c r="A3" s="731" t="s">
        <v>576</v>
      </c>
      <c r="B3" s="974"/>
      <c r="C3" s="974"/>
      <c r="D3" s="974"/>
      <c r="E3" s="974"/>
      <c r="F3" s="974"/>
      <c r="G3" s="974"/>
      <c r="H3" s="974"/>
      <c r="I3" s="974"/>
      <c r="J3" s="974"/>
    </row>
    <row r="4" spans="1:10" s="729" customFormat="1" ht="15.6">
      <c r="A4" s="728" t="s">
        <v>1515</v>
      </c>
    </row>
    <row r="5" spans="1:10" s="729" customFormat="1" ht="15.6">
      <c r="A5" s="728" t="s">
        <v>1514</v>
      </c>
    </row>
    <row r="6" spans="1:10" s="729" customFormat="1" ht="15.6">
      <c r="A6" s="728"/>
    </row>
    <row r="7" spans="1:10" s="729" customFormat="1" ht="15.6">
      <c r="A7" s="979" t="s">
        <v>1616</v>
      </c>
    </row>
    <row r="8" spans="1:10" s="729" customFormat="1" ht="15.6">
      <c r="A8" s="979" t="s">
        <v>1617</v>
      </c>
    </row>
    <row r="9" spans="1:10" s="729" customFormat="1" ht="15.6">
      <c r="A9" s="979" t="s">
        <v>1618</v>
      </c>
    </row>
    <row r="10" spans="1:10" s="729" customFormat="1" ht="16.2" thickBot="1">
      <c r="A10" s="728"/>
    </row>
    <row r="11" spans="1:10" s="729" customFormat="1" ht="47.55" customHeight="1" thickBot="1">
      <c r="A11" s="742"/>
      <c r="B11" s="982" t="s">
        <v>1513</v>
      </c>
      <c r="C11" s="982" t="s">
        <v>1512</v>
      </c>
      <c r="D11" s="982" t="s">
        <v>1511</v>
      </c>
    </row>
    <row r="12" spans="1:10" s="729" customFormat="1" ht="22.05" customHeight="1" thickBot="1">
      <c r="A12" s="983" t="s">
        <v>1510</v>
      </c>
      <c r="B12" s="744">
        <v>20</v>
      </c>
      <c r="C12" s="744">
        <v>5</v>
      </c>
      <c r="D12" s="744">
        <v>15</v>
      </c>
    </row>
    <row r="13" spans="1:10" s="729" customFormat="1" ht="23.55" customHeight="1" thickBot="1">
      <c r="A13" s="983" t="s">
        <v>1509</v>
      </c>
      <c r="B13" s="744">
        <v>6</v>
      </c>
      <c r="C13" s="744">
        <v>2</v>
      </c>
      <c r="D13" s="744">
        <v>3</v>
      </c>
    </row>
    <row r="14" spans="1:10" s="729" customFormat="1"/>
    <row r="15" spans="1:10" s="729" customFormat="1" ht="15.6">
      <c r="A15" s="981" t="s">
        <v>1619</v>
      </c>
    </row>
    <row r="16" spans="1:10">
      <c r="A16" s="984" t="s">
        <v>24</v>
      </c>
    </row>
  </sheetData>
  <pageMargins left="0.7" right="0.7" top="0.75" bottom="0.75" header="0.3" footer="0.3"/>
  <pageSetup orientation="portrait" horizontalDpi="4294967293" verticalDpi="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5ABCD-F17F-482A-B45E-A8D501C0606D}">
  <dimension ref="A1:J30"/>
  <sheetViews>
    <sheetView topLeftCell="A9" workbookViewId="0">
      <selection activeCell="A29" sqref="A29:XFD30"/>
    </sheetView>
  </sheetViews>
  <sheetFormatPr defaultColWidth="9.21875" defaultRowHeight="14.4"/>
  <cols>
    <col min="1" max="1" width="17.5546875" style="448" customWidth="1"/>
    <col min="2" max="2" width="16.21875" style="448" customWidth="1"/>
    <col min="3" max="3" width="21.44140625" style="448" customWidth="1"/>
    <col min="4" max="4" width="26.5546875" style="448" customWidth="1"/>
    <col min="5" max="16384" width="9.21875" style="448"/>
  </cols>
  <sheetData>
    <row r="1" spans="1:10" s="493" customFormat="1" ht="17.399999999999999">
      <c r="A1" s="523" t="s">
        <v>1399</v>
      </c>
    </row>
    <row r="2" spans="1:10" s="493" customFormat="1" ht="15.6">
      <c r="A2" s="522" t="s">
        <v>1529</v>
      </c>
    </row>
    <row r="3" spans="1:10" s="493" customFormat="1" ht="15.6">
      <c r="A3" s="522" t="s">
        <v>1528</v>
      </c>
      <c r="B3" s="884"/>
      <c r="C3" s="884"/>
      <c r="D3" s="884"/>
      <c r="E3" s="884"/>
      <c r="F3" s="884"/>
      <c r="G3" s="884"/>
      <c r="H3" s="884"/>
      <c r="I3" s="884"/>
      <c r="J3" s="884"/>
    </row>
    <row r="4" spans="1:10" s="493" customFormat="1" ht="15.6">
      <c r="A4" s="494" t="s">
        <v>1527</v>
      </c>
    </row>
    <row r="5" spans="1:10" s="493" customFormat="1" ht="15.6">
      <c r="A5" s="494" t="s">
        <v>1526</v>
      </c>
    </row>
    <row r="6" spans="1:10" s="493" customFormat="1" ht="16.2" thickBot="1">
      <c r="A6" s="494"/>
    </row>
    <row r="7" spans="1:10" s="493" customFormat="1" ht="15" customHeight="1" thickBot="1">
      <c r="A7" s="894"/>
      <c r="B7" s="893"/>
      <c r="C7" s="892" t="s">
        <v>1525</v>
      </c>
      <c r="D7" s="891" t="s">
        <v>1524</v>
      </c>
    </row>
    <row r="8" spans="1:10" s="493" customFormat="1" ht="16.2" thickBot="1">
      <c r="A8" s="1137" t="s">
        <v>199</v>
      </c>
      <c r="B8" s="1138"/>
      <c r="C8" s="890">
        <v>28000</v>
      </c>
      <c r="D8" s="890">
        <v>249000</v>
      </c>
    </row>
    <row r="9" spans="1:10" s="493" customFormat="1" ht="16.2" thickBot="1">
      <c r="A9" s="1137" t="s">
        <v>1523</v>
      </c>
      <c r="B9" s="1138"/>
      <c r="C9" s="890">
        <v>28000</v>
      </c>
      <c r="D9" s="890">
        <v>28000</v>
      </c>
    </row>
    <row r="10" spans="1:10" s="493" customFormat="1" ht="16.2" thickBot="1">
      <c r="A10" s="1137" t="s">
        <v>1522</v>
      </c>
      <c r="B10" s="1138"/>
      <c r="C10" s="545">
        <v>560</v>
      </c>
      <c r="D10" s="890">
        <v>4980</v>
      </c>
    </row>
    <row r="11" spans="1:10" s="493" customFormat="1" ht="16.2" thickBot="1">
      <c r="A11" s="1137" t="s">
        <v>1521</v>
      </c>
      <c r="B11" s="1138"/>
      <c r="C11" s="890">
        <v>8000</v>
      </c>
      <c r="D11" s="890">
        <v>8000</v>
      </c>
    </row>
    <row r="12" spans="1:10" s="493" customFormat="1" ht="16.2" thickBot="1">
      <c r="A12" s="1137" t="s">
        <v>1520</v>
      </c>
      <c r="B12" s="1138"/>
      <c r="C12" s="890">
        <v>1000</v>
      </c>
      <c r="D12" s="890">
        <v>18550</v>
      </c>
    </row>
    <row r="13" spans="1:10" s="493" customFormat="1" ht="16.2" thickBot="1">
      <c r="A13" s="1137" t="s">
        <v>1519</v>
      </c>
      <c r="B13" s="1138"/>
      <c r="C13" s="890">
        <v>1030</v>
      </c>
      <c r="D13" s="890">
        <v>187000</v>
      </c>
    </row>
    <row r="14" spans="1:10" s="493" customFormat="1">
      <c r="A14" s="544"/>
      <c r="B14" s="544"/>
      <c r="C14" s="544"/>
      <c r="D14" s="544"/>
    </row>
    <row r="15" spans="1:10" s="493" customFormat="1" ht="15.6">
      <c r="A15" s="494" t="s">
        <v>1518</v>
      </c>
    </row>
    <row r="16" spans="1:10" s="493" customFormat="1" ht="15.6">
      <c r="A16" s="494"/>
    </row>
    <row r="17" spans="1:1" s="493" customFormat="1" ht="15.6">
      <c r="A17" s="494" t="s">
        <v>1517</v>
      </c>
    </row>
    <row r="18" spans="1:1" s="493" customFormat="1" ht="15.6">
      <c r="A18" s="539" t="s">
        <v>1516</v>
      </c>
    </row>
    <row r="19" spans="1:1" ht="15.6">
      <c r="A19" s="756" t="s">
        <v>24</v>
      </c>
    </row>
    <row r="20" spans="1:1" ht="15.6">
      <c r="A20" s="756"/>
    </row>
    <row r="21" spans="1:1" ht="15.6">
      <c r="A21" s="756"/>
    </row>
    <row r="22" spans="1:1" ht="15.6">
      <c r="A22" s="756"/>
    </row>
    <row r="23" spans="1:1" ht="15.6">
      <c r="A23" s="756"/>
    </row>
    <row r="24" spans="1:1" ht="15.6">
      <c r="A24" s="756"/>
    </row>
    <row r="25" spans="1:1" ht="15.6">
      <c r="A25" s="756"/>
    </row>
    <row r="26" spans="1:1" ht="15.6">
      <c r="A26" s="756"/>
    </row>
    <row r="27" spans="1:1" ht="15.6">
      <c r="A27" s="756"/>
    </row>
    <row r="28" spans="1:1" ht="15.6">
      <c r="A28" s="985" t="s">
        <v>1620</v>
      </c>
    </row>
    <row r="29" spans="1:1" s="729" customFormat="1" ht="15.6">
      <c r="A29" s="986" t="s">
        <v>1621</v>
      </c>
    </row>
    <row r="30" spans="1:1" s="727" customFormat="1" ht="15.6">
      <c r="A30" s="862" t="s">
        <v>24</v>
      </c>
    </row>
  </sheetData>
  <mergeCells count="6">
    <mergeCell ref="A13:B13"/>
    <mergeCell ref="A8:B8"/>
    <mergeCell ref="A9:B9"/>
    <mergeCell ref="A10:B10"/>
    <mergeCell ref="A11:B11"/>
    <mergeCell ref="A12:B12"/>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59000-9DE8-473B-9FB9-59CCF9CB6B2E}">
  <dimension ref="A1:J42"/>
  <sheetViews>
    <sheetView workbookViewId="0"/>
  </sheetViews>
  <sheetFormatPr defaultColWidth="9.21875" defaultRowHeight="14.4"/>
  <cols>
    <col min="1" max="1" width="9.77734375" style="448" customWidth="1"/>
    <col min="2" max="16384" width="9.21875" style="448"/>
  </cols>
  <sheetData>
    <row r="1" spans="1:10" s="493" customFormat="1" ht="17.399999999999999">
      <c r="A1" s="523" t="s">
        <v>93</v>
      </c>
    </row>
    <row r="2" spans="1:10" s="493" customFormat="1" ht="15.6">
      <c r="A2" s="522" t="s">
        <v>291</v>
      </c>
    </row>
    <row r="3" spans="1:10" s="493" customFormat="1" ht="15.6">
      <c r="A3" s="522" t="s">
        <v>576</v>
      </c>
      <c r="B3" s="884"/>
      <c r="C3" s="884"/>
      <c r="D3" s="884"/>
      <c r="E3" s="884"/>
      <c r="F3" s="884"/>
      <c r="G3" s="884"/>
      <c r="H3" s="884"/>
      <c r="I3" s="884"/>
      <c r="J3" s="884"/>
    </row>
    <row r="4" spans="1:10" s="493" customFormat="1" ht="15.6">
      <c r="A4" s="536" t="s">
        <v>1539</v>
      </c>
    </row>
    <row r="5" spans="1:10" s="493" customFormat="1" ht="15.6">
      <c r="A5" s="896" t="s">
        <v>1538</v>
      </c>
    </row>
    <row r="6" spans="1:10" s="493" customFormat="1" ht="15.6">
      <c r="A6" s="896" t="s">
        <v>1537</v>
      </c>
    </row>
    <row r="7" spans="1:10" s="493" customFormat="1" ht="15.6">
      <c r="A7" s="896" t="s">
        <v>1536</v>
      </c>
    </row>
    <row r="8" spans="1:10" s="493" customFormat="1" ht="15.6">
      <c r="A8" s="896" t="s">
        <v>1535</v>
      </c>
    </row>
    <row r="9" spans="1:10" s="493" customFormat="1" ht="15.6">
      <c r="A9" s="896" t="s">
        <v>1534</v>
      </c>
    </row>
    <row r="10" spans="1:10" s="493" customFormat="1"/>
    <row r="11" spans="1:10" s="493" customFormat="1" ht="15.6">
      <c r="A11" s="494" t="s">
        <v>1533</v>
      </c>
    </row>
    <row r="12" spans="1:10" s="493" customFormat="1"/>
    <row r="13" spans="1:10" s="493" customFormat="1" ht="15.6">
      <c r="A13" s="762" t="s">
        <v>1532</v>
      </c>
    </row>
    <row r="14" spans="1:10">
      <c r="A14" s="889" t="s">
        <v>24</v>
      </c>
    </row>
    <row r="27" spans="1:1" s="493" customFormat="1" ht="15.6">
      <c r="A27" s="883" t="s">
        <v>1531</v>
      </c>
    </row>
    <row r="28" spans="1:1">
      <c r="A28" s="889" t="s">
        <v>24</v>
      </c>
    </row>
    <row r="41" spans="1:1" s="493" customFormat="1" ht="15.6">
      <c r="A41" s="895" t="s">
        <v>1530</v>
      </c>
    </row>
    <row r="42" spans="1:1">
      <c r="A42" s="889" t="s">
        <v>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08D6B-7FC1-4DF4-9D9B-7775136874EB}">
  <dimension ref="A1:C25"/>
  <sheetViews>
    <sheetView workbookViewId="0">
      <selection activeCell="C1" sqref="C1"/>
    </sheetView>
  </sheetViews>
  <sheetFormatPr defaultColWidth="9.21875" defaultRowHeight="14.4"/>
  <cols>
    <col min="1" max="1" width="24" style="448" customWidth="1"/>
    <col min="2" max="2" width="17.5546875" style="448" customWidth="1"/>
    <col min="3" max="3" width="9.77734375" style="448" customWidth="1"/>
    <col min="4" max="4" width="9.5546875" style="448" customWidth="1"/>
    <col min="5" max="5" width="10.77734375" style="448" customWidth="1"/>
    <col min="6" max="6" width="9.44140625" style="448" customWidth="1"/>
    <col min="7" max="7" width="10.5546875" style="448" customWidth="1"/>
    <col min="8" max="8" width="9.21875" style="448"/>
    <col min="9" max="9" width="15.5546875" style="448" customWidth="1"/>
    <col min="10" max="16384" width="9.21875" style="448"/>
  </cols>
  <sheetData>
    <row r="1" spans="1:3" s="493" customFormat="1" ht="17.399999999999999">
      <c r="A1" s="523" t="s">
        <v>1666</v>
      </c>
    </row>
    <row r="2" spans="1:3" s="493" customFormat="1" ht="15.6">
      <c r="A2" s="522" t="s">
        <v>627</v>
      </c>
    </row>
    <row r="3" spans="1:3" s="493" customFormat="1" ht="15.6">
      <c r="A3" s="522" t="s">
        <v>576</v>
      </c>
    </row>
    <row r="4" spans="1:3" s="493" customFormat="1"/>
    <row r="5" spans="1:3" s="493" customFormat="1" ht="15.6">
      <c r="A5" s="539" t="s">
        <v>1667</v>
      </c>
    </row>
    <row r="6" spans="1:3" s="493" customFormat="1" ht="15.6">
      <c r="A6" s="536"/>
    </row>
    <row r="7" spans="1:3" s="493" customFormat="1" ht="15.6">
      <c r="A7" s="1051" t="s">
        <v>1668</v>
      </c>
      <c r="B7" s="1051"/>
      <c r="C7" s="994">
        <v>100000</v>
      </c>
    </row>
    <row r="8" spans="1:3" s="493" customFormat="1" ht="15.6">
      <c r="A8" s="1051" t="s">
        <v>1669</v>
      </c>
      <c r="B8" s="1051"/>
      <c r="C8" s="995">
        <v>0.08</v>
      </c>
    </row>
    <row r="9" spans="1:3" s="493" customFormat="1" ht="15.6">
      <c r="A9" s="1051" t="s">
        <v>1670</v>
      </c>
      <c r="B9" s="1051"/>
      <c r="C9" s="995">
        <v>0.06</v>
      </c>
    </row>
    <row r="10" spans="1:3" s="493" customFormat="1" ht="15.6">
      <c r="A10" s="1051" t="s">
        <v>1671</v>
      </c>
      <c r="B10" s="1051"/>
      <c r="C10" s="995">
        <v>0.03</v>
      </c>
    </row>
    <row r="11" spans="1:3" s="493" customFormat="1" ht="15.6">
      <c r="A11" s="1051" t="s">
        <v>231</v>
      </c>
      <c r="B11" s="1051"/>
      <c r="C11" s="996">
        <v>4.4999999999999998E-2</v>
      </c>
    </row>
    <row r="12" spans="1:3" s="493" customFormat="1" ht="15.6">
      <c r="A12" s="1052"/>
      <c r="B12" s="1052"/>
      <c r="C12" s="1048"/>
    </row>
    <row r="13" spans="1:3" s="493" customFormat="1" ht="16.2" thickBot="1">
      <c r="A13" s="1049" t="s">
        <v>1672</v>
      </c>
      <c r="B13" s="1049"/>
      <c r="C13" s="1048"/>
    </row>
    <row r="14" spans="1:3" s="493" customFormat="1" ht="31.8" thickBot="1">
      <c r="A14" s="997" t="s">
        <v>374</v>
      </c>
      <c r="B14" s="998" t="s">
        <v>1673</v>
      </c>
      <c r="C14" s="1048"/>
    </row>
    <row r="15" spans="1:3" s="493" customFormat="1" ht="16.2" thickBot="1">
      <c r="A15" s="999">
        <v>1</v>
      </c>
      <c r="B15" s="1000">
        <v>7</v>
      </c>
      <c r="C15" s="1048"/>
    </row>
    <row r="16" spans="1:3" s="493" customFormat="1" ht="16.2" thickBot="1">
      <c r="A16" s="999">
        <v>2</v>
      </c>
      <c r="B16" s="1000">
        <v>6</v>
      </c>
      <c r="C16" s="1048"/>
    </row>
    <row r="17" spans="1:3" s="493" customFormat="1" ht="16.2" thickBot="1">
      <c r="A17" s="999">
        <v>3</v>
      </c>
      <c r="B17" s="1000">
        <v>5</v>
      </c>
      <c r="C17" s="1048"/>
    </row>
    <row r="18" spans="1:3" s="493" customFormat="1" ht="16.2" thickBot="1">
      <c r="A18" s="999">
        <v>4</v>
      </c>
      <c r="B18" s="1000">
        <v>4</v>
      </c>
      <c r="C18" s="1048"/>
    </row>
    <row r="19" spans="1:3" s="493" customFormat="1" ht="16.2" thickBot="1">
      <c r="A19" s="999">
        <v>5</v>
      </c>
      <c r="B19" s="1000">
        <v>3</v>
      </c>
      <c r="C19" s="1048"/>
    </row>
    <row r="20" spans="1:3" s="493" customFormat="1" ht="16.2" thickBot="1">
      <c r="A20" s="999">
        <v>6</v>
      </c>
      <c r="B20" s="1000">
        <v>2</v>
      </c>
      <c r="C20" s="1048"/>
    </row>
    <row r="21" spans="1:3" s="493" customFormat="1" ht="16.2" thickBot="1">
      <c r="A21" s="999">
        <v>7</v>
      </c>
      <c r="B21" s="1000">
        <v>1</v>
      </c>
      <c r="C21" s="1048"/>
    </row>
    <row r="22" spans="1:3" s="493" customFormat="1" ht="16.2" thickBot="1">
      <c r="A22" s="999">
        <v>8</v>
      </c>
      <c r="B22" s="1000">
        <v>0</v>
      </c>
      <c r="C22" s="1048"/>
    </row>
    <row r="23" spans="1:3" s="493" customFormat="1" ht="15.6">
      <c r="A23" s="1050" t="s">
        <v>0</v>
      </c>
      <c r="B23" s="1050"/>
      <c r="C23" s="1048"/>
    </row>
    <row r="24" spans="1:3" s="493" customFormat="1" ht="15.6">
      <c r="A24" s="494" t="s">
        <v>1674</v>
      </c>
    </row>
    <row r="25" spans="1:3" ht="15.6">
      <c r="A25" s="989" t="s">
        <v>24</v>
      </c>
    </row>
  </sheetData>
  <mergeCells count="9">
    <mergeCell ref="C12:C23"/>
    <mergeCell ref="A13:B13"/>
    <mergeCell ref="A23:B23"/>
    <mergeCell ref="A7:B7"/>
    <mergeCell ref="A8:B8"/>
    <mergeCell ref="A9:B9"/>
    <mergeCell ref="A10:B10"/>
    <mergeCell ref="A11:B11"/>
    <mergeCell ref="A12:B12"/>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90CCE-BFB2-4527-86A0-653D1DEE34B7}">
  <sheetPr>
    <tabColor theme="5" tint="0.79998168889431442"/>
  </sheetPr>
  <dimension ref="A1:L18"/>
  <sheetViews>
    <sheetView workbookViewId="0">
      <selection activeCell="L13" sqref="L13"/>
    </sheetView>
  </sheetViews>
  <sheetFormatPr defaultColWidth="9.21875" defaultRowHeight="14.4"/>
  <cols>
    <col min="1" max="2" width="9.21875" style="448"/>
    <col min="3" max="3" width="11.44140625" style="448" customWidth="1"/>
    <col min="4" max="4" width="9.21875" style="448"/>
    <col min="5" max="5" width="13" style="448" customWidth="1"/>
    <col min="6" max="6" width="9.21875" style="448"/>
    <col min="7" max="7" width="11.77734375" style="448" customWidth="1"/>
    <col min="8" max="8" width="11.21875" style="448" bestFit="1" customWidth="1"/>
    <col min="9" max="16384" width="9.21875" style="448"/>
  </cols>
  <sheetData>
    <row r="1" spans="1:12">
      <c r="A1" s="448" t="s">
        <v>1597</v>
      </c>
    </row>
    <row r="2" spans="1:12">
      <c r="G2" s="934" t="s">
        <v>1401</v>
      </c>
      <c r="J2" s="934" t="s">
        <v>1596</v>
      </c>
    </row>
    <row r="3" spans="1:12">
      <c r="A3" s="935">
        <v>1</v>
      </c>
      <c r="B3" s="935">
        <f t="shared" ref="B3:J3" si="0">A3+1</f>
        <v>2</v>
      </c>
      <c r="C3" s="935">
        <f t="shared" si="0"/>
        <v>3</v>
      </c>
      <c r="D3" s="935">
        <f t="shared" si="0"/>
        <v>4</v>
      </c>
      <c r="E3" s="935">
        <f t="shared" si="0"/>
        <v>5</v>
      </c>
      <c r="F3" s="935">
        <f t="shared" si="0"/>
        <v>6</v>
      </c>
      <c r="G3" s="935">
        <f t="shared" si="0"/>
        <v>7</v>
      </c>
      <c r="H3" s="935">
        <f t="shared" si="0"/>
        <v>8</v>
      </c>
      <c r="I3" s="935">
        <f t="shared" si="0"/>
        <v>9</v>
      </c>
      <c r="J3" s="935">
        <f t="shared" si="0"/>
        <v>10</v>
      </c>
      <c r="K3" s="935"/>
      <c r="L3" s="935"/>
    </row>
    <row r="5" spans="1:12">
      <c r="C5" s="935" t="s">
        <v>1595</v>
      </c>
      <c r="D5" s="935" t="s">
        <v>1563</v>
      </c>
      <c r="E5" s="448" t="s">
        <v>1594</v>
      </c>
    </row>
    <row r="6" spans="1:12">
      <c r="A6" s="935" t="s">
        <v>1563</v>
      </c>
      <c r="B6" s="935" t="s">
        <v>199</v>
      </c>
      <c r="C6" s="935" t="s">
        <v>1561</v>
      </c>
      <c r="D6" s="935" t="s">
        <v>165</v>
      </c>
      <c r="E6" s="935" t="s">
        <v>1561</v>
      </c>
      <c r="F6" s="935" t="s">
        <v>1593</v>
      </c>
      <c r="G6" s="935" t="s">
        <v>1592</v>
      </c>
      <c r="H6" s="448" t="s">
        <v>1207</v>
      </c>
      <c r="I6" s="935" t="s">
        <v>431</v>
      </c>
      <c r="J6" s="935" t="s">
        <v>431</v>
      </c>
    </row>
    <row r="7" spans="1:12">
      <c r="A7" s="935" t="s">
        <v>374</v>
      </c>
      <c r="B7" s="935" t="s">
        <v>1591</v>
      </c>
      <c r="C7" s="935" t="s">
        <v>1591</v>
      </c>
      <c r="D7" s="935" t="s">
        <v>1590</v>
      </c>
      <c r="E7" s="935" t="s">
        <v>1590</v>
      </c>
      <c r="F7" s="935" t="s">
        <v>1589</v>
      </c>
      <c r="G7" s="935" t="s">
        <v>726</v>
      </c>
      <c r="H7" s="935" t="s">
        <v>733</v>
      </c>
      <c r="I7" s="935" t="s">
        <v>1588</v>
      </c>
      <c r="J7" s="934" t="s">
        <v>1588</v>
      </c>
    </row>
    <row r="8" spans="1:12">
      <c r="A8" s="448">
        <v>0</v>
      </c>
      <c r="B8" s="922">
        <v>1400</v>
      </c>
      <c r="C8" s="922">
        <v>75</v>
      </c>
      <c r="D8" s="922">
        <v>0</v>
      </c>
      <c r="E8" s="922">
        <v>0</v>
      </c>
      <c r="F8" s="922">
        <f t="shared" ref="F8:F13" si="1">B8-C8-D8-E8</f>
        <v>1325</v>
      </c>
      <c r="G8" s="932">
        <f>(D9+E9+G9)*(1+F$16)^-1</f>
        <v>1324.9999999999993</v>
      </c>
      <c r="I8" s="922"/>
      <c r="J8" s="933"/>
    </row>
    <row r="9" spans="1:12">
      <c r="A9" s="448">
        <f>A8+1</f>
        <v>1</v>
      </c>
      <c r="B9" s="922">
        <v>0</v>
      </c>
      <c r="C9" s="922">
        <v>0</v>
      </c>
      <c r="D9" s="922">
        <v>300</v>
      </c>
      <c r="E9" s="922">
        <v>15</v>
      </c>
      <c r="F9" s="922">
        <f t="shared" si="1"/>
        <v>-315</v>
      </c>
      <c r="G9" s="932">
        <f>(D10+E10+G10)*(1+F$16)^-1</f>
        <v>1090.1962308501254</v>
      </c>
      <c r="H9" s="922">
        <f>F$17*G8</f>
        <v>86.124999999999957</v>
      </c>
      <c r="I9" s="922">
        <f>B9-C9-D9-E9-G9+G8+H9</f>
        <v>5.9287691498738724</v>
      </c>
      <c r="J9" s="931">
        <f>(F$17-F$16)*G8</f>
        <v>5.9287691498739283</v>
      </c>
      <c r="L9" s="926"/>
    </row>
    <row r="10" spans="1:12">
      <c r="A10" s="448">
        <f>A9+1</f>
        <v>2</v>
      </c>
      <c r="B10" s="922">
        <v>0</v>
      </c>
      <c r="C10" s="922">
        <v>0</v>
      </c>
      <c r="D10" s="922">
        <v>300</v>
      </c>
      <c r="E10" s="922">
        <v>15</v>
      </c>
      <c r="F10" s="922">
        <f t="shared" si="1"/>
        <v>-315</v>
      </c>
      <c r="G10" s="932">
        <f>(D11+E11+G11)*(1+F$16)^-1</f>
        <v>841.18085620951717</v>
      </c>
      <c r="H10" s="922">
        <f>F$17*G9</f>
        <v>70.862755005258151</v>
      </c>
      <c r="I10" s="922">
        <f>B10-C10-D10-E10-G10+G9+H10</f>
        <v>4.878129645866494</v>
      </c>
      <c r="J10" s="931">
        <f>(F$17-F$16)*G9</f>
        <v>4.878129645866462</v>
      </c>
      <c r="L10" s="926"/>
    </row>
    <row r="11" spans="1:12">
      <c r="A11" s="448">
        <f>A10+1</f>
        <v>3</v>
      </c>
      <c r="B11" s="922">
        <v>0</v>
      </c>
      <c r="C11" s="922">
        <v>0</v>
      </c>
      <c r="D11" s="922">
        <v>300</v>
      </c>
      <c r="E11" s="922">
        <v>15</v>
      </c>
      <c r="F11" s="922">
        <f t="shared" si="1"/>
        <v>-315</v>
      </c>
      <c r="G11" s="932">
        <f>(D12+E12+G12)*(1+F$16)^-1</f>
        <v>577.09371215765691</v>
      </c>
      <c r="H11" s="922">
        <f>F$17*G10</f>
        <v>54.676755653618621</v>
      </c>
      <c r="I11" s="922">
        <f>B11-C11-D11-E11-G11+G10+H11</f>
        <v>3.7638997054788845</v>
      </c>
      <c r="J11" s="931">
        <f>(F$17-F$16)*G10</f>
        <v>3.7638997054788867</v>
      </c>
      <c r="L11" s="926"/>
    </row>
    <row r="12" spans="1:12">
      <c r="A12" s="448">
        <f>A11+1</f>
        <v>4</v>
      </c>
      <c r="B12" s="922">
        <v>0</v>
      </c>
      <c r="C12" s="922">
        <v>0</v>
      </c>
      <c r="D12" s="922">
        <v>300</v>
      </c>
      <c r="E12" s="922">
        <v>15</v>
      </c>
      <c r="F12" s="922">
        <f t="shared" si="1"/>
        <v>-315</v>
      </c>
      <c r="G12" s="932">
        <f>(D13+E13+G13)*(1+F$16)^-1</f>
        <v>297.02257295943173</v>
      </c>
      <c r="H12" s="922">
        <f>F$17*G11</f>
        <v>37.511091290247698</v>
      </c>
      <c r="I12" s="922">
        <f>B12-C12-D12-E12-G12+G11+H12</f>
        <v>2.5822304884728808</v>
      </c>
      <c r="J12" s="931">
        <f>(F$17-F$16)*G11</f>
        <v>2.5822304884728626</v>
      </c>
      <c r="L12" s="926"/>
    </row>
    <row r="13" spans="1:12">
      <c r="A13" s="448">
        <f>A12+1</f>
        <v>5</v>
      </c>
      <c r="B13" s="922">
        <v>0</v>
      </c>
      <c r="C13" s="922">
        <v>0</v>
      </c>
      <c r="D13" s="922">
        <v>300</v>
      </c>
      <c r="E13" s="922">
        <v>15</v>
      </c>
      <c r="F13" s="922">
        <f t="shared" si="1"/>
        <v>-315</v>
      </c>
      <c r="G13" s="932">
        <f>(D15+E15+G15)*(1+F$16)^-1</f>
        <v>0</v>
      </c>
      <c r="H13" s="922">
        <f>F$17*G12</f>
        <v>19.306467242363063</v>
      </c>
      <c r="I13" s="922">
        <f>B13-C13-D13-E13-G13+G12+H13</f>
        <v>1.3290402017947898</v>
      </c>
      <c r="J13" s="931">
        <f>(F$17-F$16)*G12</f>
        <v>1.3290402017947607</v>
      </c>
      <c r="L13" s="926"/>
    </row>
    <row r="14" spans="1:12">
      <c r="B14" s="922"/>
      <c r="C14" s="922"/>
      <c r="D14" s="922"/>
      <c r="E14" s="922"/>
      <c r="F14" s="922"/>
      <c r="G14" s="922"/>
      <c r="H14" s="922"/>
      <c r="I14" s="922"/>
      <c r="J14" s="922"/>
      <c r="L14" s="926"/>
    </row>
    <row r="15" spans="1:12">
      <c r="B15" s="922"/>
      <c r="C15" s="922"/>
      <c r="D15" s="922"/>
      <c r="E15" s="922"/>
      <c r="F15" s="930" t="s">
        <v>1403</v>
      </c>
      <c r="G15" s="922"/>
      <c r="H15" s="922"/>
      <c r="I15" s="922"/>
      <c r="J15" s="922"/>
    </row>
    <row r="16" spans="1:12">
      <c r="B16" s="922"/>
      <c r="C16" s="922"/>
      <c r="E16" s="925" t="s">
        <v>1587</v>
      </c>
      <c r="F16" s="929">
        <f>IRR(F8:F13)</f>
        <v>6.0525457245378167E-2</v>
      </c>
      <c r="G16" s="923" t="s">
        <v>1586</v>
      </c>
      <c r="H16" s="928"/>
      <c r="I16" s="928"/>
      <c r="J16" s="928"/>
      <c r="K16" s="927"/>
      <c r="L16" s="926"/>
    </row>
    <row r="17" spans="2:10">
      <c r="B17" s="922"/>
      <c r="C17" s="922"/>
      <c r="E17" s="925" t="s">
        <v>1585</v>
      </c>
      <c r="F17" s="924">
        <v>6.5000000000000002E-2</v>
      </c>
      <c r="G17" s="923" t="s">
        <v>1584</v>
      </c>
      <c r="H17" s="922"/>
      <c r="I17" s="922"/>
      <c r="J17" s="922"/>
    </row>
    <row r="18" spans="2:10">
      <c r="B18" s="922"/>
      <c r="C18" s="922"/>
      <c r="D18" s="922"/>
      <c r="E18" s="922"/>
      <c r="F18" s="922"/>
      <c r="G18" s="922"/>
      <c r="H18" s="922"/>
      <c r="I18" s="922"/>
      <c r="J18" s="922"/>
    </row>
  </sheetData>
  <pageMargins left="0.7" right="0.7" top="0.75" bottom="0.75" header="0.3" footer="0.3"/>
  <pageSetup orientation="portrait" r:id="rId1"/>
  <headerFooter>
    <oddFooter>&amp;C&amp;1#&amp;"Calibri"&amp;10&amp;K000000CONFIDENTIAL</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DCCA8-2F1A-4477-AF8F-D3A47314036F}">
  <dimension ref="A1:AC63"/>
  <sheetViews>
    <sheetView workbookViewId="0"/>
  </sheetViews>
  <sheetFormatPr defaultColWidth="9.21875" defaultRowHeight="14.4"/>
  <cols>
    <col min="1" max="1" width="11.44140625" style="448" customWidth="1"/>
    <col min="2" max="5" width="9.21875" style="448"/>
    <col min="6" max="6" width="13.5546875" style="448" customWidth="1"/>
    <col min="7" max="7" width="14.5546875" style="448" customWidth="1"/>
    <col min="8" max="8" width="12.21875" style="448" customWidth="1"/>
    <col min="9" max="9" width="11.44140625" style="448" customWidth="1"/>
    <col min="10" max="10" width="10.21875" style="448" customWidth="1"/>
    <col min="11" max="11" width="11" style="448" customWidth="1"/>
    <col min="12" max="12" width="18.44140625" style="448" customWidth="1"/>
    <col min="13" max="13" width="16.21875" style="448" customWidth="1"/>
    <col min="14" max="14" width="18" style="448" customWidth="1"/>
    <col min="15" max="15" width="12.44140625" style="448" customWidth="1"/>
    <col min="16" max="16" width="14.77734375" style="448" customWidth="1"/>
    <col min="17" max="17" width="16.5546875" style="448" customWidth="1"/>
    <col min="18" max="18" width="11.77734375" style="448" customWidth="1"/>
    <col min="19" max="19" width="13.77734375" style="448" customWidth="1"/>
    <col min="20" max="20" width="17.5546875" style="448" customWidth="1"/>
    <col min="21" max="21" width="15.77734375" style="448" customWidth="1"/>
    <col min="22" max="22" width="11.21875" style="448" customWidth="1"/>
    <col min="23" max="23" width="11.5546875" style="448" bestFit="1" customWidth="1"/>
    <col min="24" max="24" width="12.77734375" style="448" customWidth="1"/>
    <col min="25" max="25" width="14.77734375" style="448" customWidth="1"/>
    <col min="26" max="26" width="16.44140625" style="448" customWidth="1"/>
    <col min="27" max="27" width="15.77734375" style="448" customWidth="1"/>
    <col min="28" max="28" width="14.77734375" style="448" customWidth="1"/>
    <col min="29" max="29" width="12" style="448" customWidth="1"/>
    <col min="30" max="16384" width="9.21875" style="448"/>
  </cols>
  <sheetData>
    <row r="1" spans="1:11" s="493" customFormat="1" ht="17.399999999999999">
      <c r="A1" s="523" t="s">
        <v>1583</v>
      </c>
    </row>
    <row r="2" spans="1:11" s="493" customFormat="1" ht="15.6">
      <c r="A2" s="522" t="s">
        <v>336</v>
      </c>
    </row>
    <row r="3" spans="1:11" s="493" customFormat="1" ht="15.6">
      <c r="A3" s="522" t="s">
        <v>388</v>
      </c>
      <c r="B3" s="884"/>
      <c r="C3" s="884"/>
      <c r="D3" s="884"/>
      <c r="E3" s="884"/>
      <c r="F3" s="884"/>
      <c r="G3" s="884"/>
      <c r="H3" s="884"/>
      <c r="I3" s="884"/>
      <c r="J3" s="884"/>
    </row>
    <row r="4" spans="1:11" s="493" customFormat="1" ht="15.6">
      <c r="A4" s="536" t="s">
        <v>1582</v>
      </c>
    </row>
    <row r="5" spans="1:11" s="493" customFormat="1"/>
    <row r="6" spans="1:11" s="493" customFormat="1" ht="15.6">
      <c r="A6" s="896" t="s">
        <v>1581</v>
      </c>
    </row>
    <row r="7" spans="1:11" s="493" customFormat="1" ht="15.6">
      <c r="A7" s="896" t="s">
        <v>1580</v>
      </c>
    </row>
    <row r="8" spans="1:11" s="493" customFormat="1" ht="15.6">
      <c r="A8" s="896" t="s">
        <v>1579</v>
      </c>
    </row>
    <row r="9" spans="1:11" s="493" customFormat="1" ht="15.6">
      <c r="A9" s="921" t="s">
        <v>1578</v>
      </c>
    </row>
    <row r="10" spans="1:11" s="493" customFormat="1" ht="15.6">
      <c r="A10" s="921" t="s">
        <v>1577</v>
      </c>
    </row>
    <row r="11" spans="1:11" s="493" customFormat="1" ht="15">
      <c r="A11" s="921"/>
    </row>
    <row r="12" spans="1:11" s="493" customFormat="1">
      <c r="A12" s="914" t="s">
        <v>1576</v>
      </c>
    </row>
    <row r="13" spans="1:11" s="493" customFormat="1">
      <c r="A13" s="911"/>
      <c r="B13" s="911"/>
      <c r="C13" s="911"/>
      <c r="D13" s="911"/>
      <c r="E13" s="911"/>
      <c r="F13" s="911"/>
      <c r="G13" s="911"/>
      <c r="H13" s="911"/>
      <c r="I13" s="913"/>
      <c r="J13" s="913" t="s">
        <v>1219</v>
      </c>
      <c r="K13" s="913"/>
    </row>
    <row r="14" spans="1:11" s="493" customFormat="1">
      <c r="A14" s="908"/>
      <c r="B14" s="908"/>
      <c r="C14" s="908"/>
      <c r="D14" s="908"/>
      <c r="E14" s="908" t="s">
        <v>1059</v>
      </c>
      <c r="F14" s="908"/>
      <c r="G14" s="908" t="s">
        <v>1559</v>
      </c>
      <c r="H14" s="910" t="s">
        <v>1255</v>
      </c>
      <c r="I14" s="908" t="s">
        <v>1219</v>
      </c>
      <c r="J14" s="910" t="s">
        <v>1059</v>
      </c>
      <c r="K14" s="908" t="s">
        <v>1559</v>
      </c>
    </row>
    <row r="15" spans="1:11" s="493" customFormat="1">
      <c r="A15" s="908" t="s">
        <v>1568</v>
      </c>
      <c r="B15" s="908"/>
      <c r="C15" s="908" t="s">
        <v>1255</v>
      </c>
      <c r="D15" s="908"/>
      <c r="E15" s="908" t="s">
        <v>1193</v>
      </c>
      <c r="F15" s="908" t="s">
        <v>1575</v>
      </c>
      <c r="G15" s="908" t="s">
        <v>1574</v>
      </c>
      <c r="H15" s="910" t="s">
        <v>165</v>
      </c>
      <c r="I15" s="910" t="s">
        <v>1559</v>
      </c>
      <c r="J15" s="908" t="s">
        <v>1012</v>
      </c>
      <c r="K15" s="910" t="s">
        <v>1011</v>
      </c>
    </row>
    <row r="16" spans="1:11" s="493" customFormat="1">
      <c r="A16" s="907" t="s">
        <v>374</v>
      </c>
      <c r="B16" s="906" t="s">
        <v>166</v>
      </c>
      <c r="C16" s="906" t="s">
        <v>165</v>
      </c>
      <c r="D16" s="906" t="s">
        <v>168</v>
      </c>
      <c r="E16" s="906" t="s">
        <v>1195</v>
      </c>
      <c r="F16" s="906" t="s">
        <v>1573</v>
      </c>
      <c r="G16" s="906" t="s">
        <v>1572</v>
      </c>
      <c r="H16" s="907" t="s">
        <v>1543</v>
      </c>
      <c r="I16" s="907" t="s">
        <v>1012</v>
      </c>
      <c r="J16" s="906" t="s">
        <v>1195</v>
      </c>
      <c r="K16" s="907" t="s">
        <v>1195</v>
      </c>
    </row>
    <row r="17" spans="1:29" s="493" customFormat="1">
      <c r="A17" s="920">
        <v>1</v>
      </c>
      <c r="B17" s="918">
        <v>5200</v>
      </c>
      <c r="C17" s="918">
        <v>2250</v>
      </c>
      <c r="D17" s="918">
        <v>2500</v>
      </c>
      <c r="E17" s="919">
        <f t="shared" ref="E17:E26" si="0">0.035</f>
        <v>3.5000000000000003E-2</v>
      </c>
      <c r="F17" s="919">
        <f t="shared" ref="F17:F26" si="1">0.04</f>
        <v>0.04</v>
      </c>
      <c r="G17" s="918">
        <f>1000000</f>
        <v>1000000</v>
      </c>
      <c r="H17" s="918">
        <v>1000</v>
      </c>
      <c r="I17" s="917">
        <f t="shared" ref="I17:I26" si="2">C17/G17*1000</f>
        <v>2.25</v>
      </c>
      <c r="J17" s="916">
        <v>4.22</v>
      </c>
      <c r="K17" s="915">
        <v>3.6200000000000003E-2</v>
      </c>
    </row>
    <row r="18" spans="1:29" s="493" customFormat="1">
      <c r="A18" s="920">
        <v>2</v>
      </c>
      <c r="B18" s="918">
        <v>5000</v>
      </c>
      <c r="C18" s="918">
        <v>2500</v>
      </c>
      <c r="D18" s="918">
        <v>1300</v>
      </c>
      <c r="E18" s="919">
        <f t="shared" si="0"/>
        <v>3.5000000000000003E-2</v>
      </c>
      <c r="F18" s="919">
        <f t="shared" si="1"/>
        <v>0.04</v>
      </c>
      <c r="G18" s="918">
        <f t="shared" ref="G18:G26" si="3">B18/B$17*G$17</f>
        <v>961538.46153846162</v>
      </c>
      <c r="H18" s="918">
        <v>1000</v>
      </c>
      <c r="I18" s="917">
        <f t="shared" si="2"/>
        <v>2.6</v>
      </c>
      <c r="J18" s="916">
        <v>4.58</v>
      </c>
      <c r="K18" s="915">
        <v>5.74E-2</v>
      </c>
    </row>
    <row r="19" spans="1:29" s="493" customFormat="1">
      <c r="A19" s="920">
        <v>3</v>
      </c>
      <c r="B19" s="918">
        <v>4700</v>
      </c>
      <c r="C19" s="918">
        <v>2800</v>
      </c>
      <c r="D19" s="918">
        <v>500</v>
      </c>
      <c r="E19" s="919">
        <f t="shared" si="0"/>
        <v>3.5000000000000003E-2</v>
      </c>
      <c r="F19" s="919">
        <f t="shared" si="1"/>
        <v>0.04</v>
      </c>
      <c r="G19" s="918">
        <f t="shared" si="3"/>
        <v>903846.15384615387</v>
      </c>
      <c r="H19" s="918">
        <v>1000</v>
      </c>
      <c r="I19" s="917">
        <f t="shared" si="2"/>
        <v>3.0978723404255319</v>
      </c>
      <c r="J19" s="916">
        <v>5</v>
      </c>
      <c r="K19" s="915">
        <v>0.1033</v>
      </c>
    </row>
    <row r="20" spans="1:29" s="493" customFormat="1">
      <c r="A20" s="920">
        <f t="shared" ref="A20:A26" si="4">A19+1</f>
        <v>4</v>
      </c>
      <c r="B20" s="918">
        <v>4200</v>
      </c>
      <c r="C20" s="918">
        <v>3150</v>
      </c>
      <c r="D20" s="918">
        <v>400</v>
      </c>
      <c r="E20" s="919">
        <f t="shared" si="0"/>
        <v>3.5000000000000003E-2</v>
      </c>
      <c r="F20" s="919">
        <f t="shared" si="1"/>
        <v>0.04</v>
      </c>
      <c r="G20" s="918">
        <f t="shared" si="3"/>
        <v>807692.30769230775</v>
      </c>
      <c r="H20" s="918">
        <v>1000</v>
      </c>
      <c r="I20" s="917">
        <f t="shared" si="2"/>
        <v>3.9</v>
      </c>
      <c r="J20" s="916">
        <v>5.48</v>
      </c>
      <c r="K20" s="915">
        <v>0.1628</v>
      </c>
    </row>
    <row r="21" spans="1:29" s="493" customFormat="1">
      <c r="A21" s="920">
        <f t="shared" si="4"/>
        <v>5</v>
      </c>
      <c r="B21" s="918">
        <v>3500</v>
      </c>
      <c r="C21" s="918">
        <v>3550</v>
      </c>
      <c r="D21" s="918">
        <v>300</v>
      </c>
      <c r="E21" s="919">
        <f t="shared" si="0"/>
        <v>3.5000000000000003E-2</v>
      </c>
      <c r="F21" s="919">
        <f t="shared" si="1"/>
        <v>0.04</v>
      </c>
      <c r="G21" s="918">
        <f t="shared" si="3"/>
        <v>673076.92307692312</v>
      </c>
      <c r="H21" s="918">
        <v>1000</v>
      </c>
      <c r="I21" s="917">
        <f t="shared" si="2"/>
        <v>5.274285714285714</v>
      </c>
      <c r="J21" s="916">
        <v>6.04</v>
      </c>
      <c r="K21" s="915">
        <v>0.19470000000000001</v>
      </c>
    </row>
    <row r="22" spans="1:29" s="493" customFormat="1">
      <c r="A22" s="920">
        <f t="shared" si="4"/>
        <v>6</v>
      </c>
      <c r="B22" s="918">
        <v>2800</v>
      </c>
      <c r="C22" s="918">
        <v>4000</v>
      </c>
      <c r="D22" s="918">
        <v>300</v>
      </c>
      <c r="E22" s="919">
        <f t="shared" si="0"/>
        <v>3.5000000000000003E-2</v>
      </c>
      <c r="F22" s="919">
        <f t="shared" si="1"/>
        <v>0.04</v>
      </c>
      <c r="G22" s="918">
        <f t="shared" si="3"/>
        <v>538461.53846153838</v>
      </c>
      <c r="H22" s="918">
        <v>1000</v>
      </c>
      <c r="I22" s="917">
        <f t="shared" si="2"/>
        <v>7.4285714285714297</v>
      </c>
      <c r="J22" s="916">
        <v>6.67</v>
      </c>
      <c r="K22" s="915">
        <v>0.2069</v>
      </c>
    </row>
    <row r="23" spans="1:29" s="493" customFormat="1">
      <c r="A23" s="920">
        <f t="shared" si="4"/>
        <v>7</v>
      </c>
      <c r="B23" s="918">
        <v>2200</v>
      </c>
      <c r="C23" s="918">
        <v>4500</v>
      </c>
      <c r="D23" s="918">
        <v>300</v>
      </c>
      <c r="E23" s="919">
        <f t="shared" si="0"/>
        <v>3.5000000000000003E-2</v>
      </c>
      <c r="F23" s="919">
        <f t="shared" si="1"/>
        <v>0.04</v>
      </c>
      <c r="G23" s="918">
        <f t="shared" si="3"/>
        <v>423076.92307692306</v>
      </c>
      <c r="H23" s="918">
        <v>1000</v>
      </c>
      <c r="I23" s="917">
        <f t="shared" si="2"/>
        <v>10.636363636363637</v>
      </c>
      <c r="J23" s="916">
        <v>7.4</v>
      </c>
      <c r="K23" s="915">
        <v>0.21659999999999999</v>
      </c>
    </row>
    <row r="24" spans="1:29" s="493" customFormat="1">
      <c r="A24" s="920">
        <f t="shared" si="4"/>
        <v>8</v>
      </c>
      <c r="B24" s="918">
        <v>1700</v>
      </c>
      <c r="C24" s="918">
        <v>5250</v>
      </c>
      <c r="D24" s="918">
        <v>250</v>
      </c>
      <c r="E24" s="919">
        <f t="shared" si="0"/>
        <v>3.5000000000000003E-2</v>
      </c>
      <c r="F24" s="919">
        <f t="shared" si="1"/>
        <v>0.04</v>
      </c>
      <c r="G24" s="918">
        <f t="shared" si="3"/>
        <v>326923.07692307694</v>
      </c>
      <c r="H24" s="918">
        <v>1000</v>
      </c>
      <c r="I24" s="917">
        <f t="shared" si="2"/>
        <v>16.058823529411764</v>
      </c>
      <c r="J24" s="916">
        <v>8.2200000000000006</v>
      </c>
      <c r="K24" s="915">
        <v>0.21920000000000001</v>
      </c>
    </row>
    <row r="25" spans="1:29" s="493" customFormat="1">
      <c r="A25" s="920">
        <f t="shared" si="4"/>
        <v>9</v>
      </c>
      <c r="B25" s="918">
        <v>1300</v>
      </c>
      <c r="C25" s="918">
        <v>6000</v>
      </c>
      <c r="D25" s="918">
        <v>200</v>
      </c>
      <c r="E25" s="919">
        <f t="shared" si="0"/>
        <v>3.5000000000000003E-2</v>
      </c>
      <c r="F25" s="919">
        <f t="shared" si="1"/>
        <v>0.04</v>
      </c>
      <c r="G25" s="918">
        <f t="shared" si="3"/>
        <v>250000</v>
      </c>
      <c r="H25" s="918">
        <v>1000</v>
      </c>
      <c r="I25" s="917">
        <f t="shared" si="2"/>
        <v>24</v>
      </c>
      <c r="J25" s="916">
        <v>9.14</v>
      </c>
      <c r="K25" s="915">
        <v>0.20680000000000001</v>
      </c>
    </row>
    <row r="26" spans="1:29" s="493" customFormat="1">
      <c r="A26" s="920">
        <f t="shared" si="4"/>
        <v>10</v>
      </c>
      <c r="B26" s="918">
        <v>1000</v>
      </c>
      <c r="C26" s="918">
        <v>6500</v>
      </c>
      <c r="D26" s="918">
        <v>150</v>
      </c>
      <c r="E26" s="919">
        <f t="shared" si="0"/>
        <v>3.5000000000000003E-2</v>
      </c>
      <c r="F26" s="919">
        <f t="shared" si="1"/>
        <v>0.04</v>
      </c>
      <c r="G26" s="918">
        <f t="shared" si="3"/>
        <v>192307.69230769231</v>
      </c>
      <c r="H26" s="918">
        <v>1000</v>
      </c>
      <c r="I26" s="917">
        <f t="shared" si="2"/>
        <v>33.799999999999997</v>
      </c>
      <c r="J26" s="916">
        <v>10.130000000000001</v>
      </c>
      <c r="K26" s="915">
        <v>0.96619999999999995</v>
      </c>
    </row>
    <row r="27" spans="1:29" s="493" customFormat="1"/>
    <row r="28" spans="1:29" s="493" customFormat="1" ht="15.6">
      <c r="A28" s="494" t="s">
        <v>1571</v>
      </c>
    </row>
    <row r="29" spans="1:29" s="493" customFormat="1" ht="15.6">
      <c r="A29" s="494"/>
    </row>
    <row r="30" spans="1:29" s="493" customFormat="1">
      <c r="A30" s="914" t="s">
        <v>1570</v>
      </c>
    </row>
    <row r="31" spans="1:29" s="493" customFormat="1">
      <c r="A31" s="911"/>
      <c r="B31" s="911"/>
      <c r="C31" s="911"/>
      <c r="D31" s="911"/>
      <c r="E31" s="911"/>
      <c r="F31" s="911"/>
      <c r="G31" s="911"/>
      <c r="H31" s="911"/>
      <c r="I31" s="911"/>
      <c r="J31" s="911"/>
      <c r="K31" s="911"/>
      <c r="L31" s="911"/>
      <c r="M31" s="911"/>
      <c r="N31" s="911"/>
      <c r="O31" s="911"/>
      <c r="P31" s="911"/>
      <c r="Q31" s="911"/>
      <c r="R31" s="911"/>
      <c r="S31" s="911"/>
      <c r="T31" s="911"/>
      <c r="U31" s="911"/>
      <c r="V31" s="911"/>
      <c r="W31" s="911"/>
      <c r="X31" s="911"/>
      <c r="Y31" s="913" t="s">
        <v>1569</v>
      </c>
      <c r="Z31" s="912"/>
      <c r="AA31" s="911"/>
      <c r="AB31" s="911"/>
      <c r="AC31" s="911"/>
    </row>
    <row r="32" spans="1:29" s="493" customFormat="1">
      <c r="A32" s="910" t="s">
        <v>1568</v>
      </c>
      <c r="B32" s="910" t="s">
        <v>1255</v>
      </c>
      <c r="C32" s="909"/>
      <c r="D32" s="910"/>
      <c r="E32" s="910" t="s">
        <v>1219</v>
      </c>
      <c r="F32" s="909"/>
      <c r="G32" s="909"/>
      <c r="H32" s="909"/>
      <c r="I32" s="909"/>
      <c r="J32" s="909"/>
      <c r="K32" s="909"/>
      <c r="L32" s="909"/>
      <c r="M32" s="909"/>
      <c r="N32" s="909"/>
      <c r="O32" s="909"/>
      <c r="P32" s="909"/>
      <c r="Q32" s="909" t="s">
        <v>1566</v>
      </c>
      <c r="R32" s="909"/>
      <c r="S32" s="910" t="s">
        <v>1567</v>
      </c>
      <c r="T32" s="909" t="s">
        <v>1566</v>
      </c>
      <c r="U32" s="910" t="s">
        <v>1558</v>
      </c>
      <c r="V32" s="909"/>
      <c r="W32" s="909"/>
      <c r="X32" s="910" t="s">
        <v>378</v>
      </c>
      <c r="Y32" s="908" t="s">
        <v>1565</v>
      </c>
      <c r="Z32" s="908" t="s">
        <v>1564</v>
      </c>
      <c r="AA32" s="908" t="s">
        <v>548</v>
      </c>
      <c r="AB32" s="908" t="s">
        <v>1556</v>
      </c>
      <c r="AC32" s="908" t="s">
        <v>378</v>
      </c>
    </row>
    <row r="33" spans="1:29" s="493" customFormat="1">
      <c r="A33" s="910" t="s">
        <v>1563</v>
      </c>
      <c r="B33" s="910" t="s">
        <v>165</v>
      </c>
      <c r="C33" s="910" t="s">
        <v>166</v>
      </c>
      <c r="D33" s="910" t="s">
        <v>1193</v>
      </c>
      <c r="E33" s="910" t="s">
        <v>1012</v>
      </c>
      <c r="F33" s="910"/>
      <c r="G33" s="910"/>
      <c r="H33" s="910" t="s">
        <v>1208</v>
      </c>
      <c r="I33" s="910" t="s">
        <v>1562</v>
      </c>
      <c r="J33" s="909"/>
      <c r="K33" s="909"/>
      <c r="L33" s="908" t="s">
        <v>1208</v>
      </c>
      <c r="M33" s="908" t="s">
        <v>1208</v>
      </c>
      <c r="N33" s="908" t="s">
        <v>1209</v>
      </c>
      <c r="O33" s="910" t="s">
        <v>1562</v>
      </c>
      <c r="P33" s="909"/>
      <c r="Q33" s="908" t="s">
        <v>1548</v>
      </c>
      <c r="R33" s="908" t="s">
        <v>1561</v>
      </c>
      <c r="S33" s="908" t="s">
        <v>1561</v>
      </c>
      <c r="T33" s="908" t="s">
        <v>1558</v>
      </c>
      <c r="U33" s="910" t="s">
        <v>1560</v>
      </c>
      <c r="V33" s="908" t="s">
        <v>1559</v>
      </c>
      <c r="W33" s="909"/>
      <c r="X33" s="908" t="s">
        <v>1558</v>
      </c>
      <c r="Y33" s="908" t="s">
        <v>199</v>
      </c>
      <c r="Z33" s="908" t="s">
        <v>726</v>
      </c>
      <c r="AA33" s="908" t="s">
        <v>1557</v>
      </c>
      <c r="AB33" s="908" t="s">
        <v>726</v>
      </c>
      <c r="AC33" s="908" t="s">
        <v>1556</v>
      </c>
    </row>
    <row r="34" spans="1:29" s="493" customFormat="1">
      <c r="A34" s="907" t="s">
        <v>374</v>
      </c>
      <c r="B34" s="907" t="s">
        <v>1543</v>
      </c>
      <c r="C34" s="907" t="s">
        <v>1543</v>
      </c>
      <c r="D34" s="907" t="s">
        <v>1195</v>
      </c>
      <c r="E34" s="907" t="s">
        <v>1195</v>
      </c>
      <c r="F34" s="907" t="s">
        <v>1555</v>
      </c>
      <c r="G34" s="907" t="s">
        <v>1545</v>
      </c>
      <c r="H34" s="907" t="s">
        <v>1549</v>
      </c>
      <c r="I34" s="907" t="s">
        <v>1549</v>
      </c>
      <c r="J34" s="907" t="s">
        <v>1554</v>
      </c>
      <c r="K34" s="907" t="s">
        <v>1553</v>
      </c>
      <c r="L34" s="906" t="s">
        <v>1552</v>
      </c>
      <c r="M34" s="906" t="s">
        <v>1551</v>
      </c>
      <c r="N34" s="906" t="s">
        <v>1550</v>
      </c>
      <c r="O34" s="907" t="s">
        <v>1549</v>
      </c>
      <c r="P34" s="907" t="s">
        <v>1548</v>
      </c>
      <c r="Q34" s="906" t="s">
        <v>1547</v>
      </c>
      <c r="R34" s="906" t="s">
        <v>1546</v>
      </c>
      <c r="S34" s="906" t="s">
        <v>1546</v>
      </c>
      <c r="T34" s="906" t="s">
        <v>726</v>
      </c>
      <c r="U34" s="906" t="s">
        <v>199</v>
      </c>
      <c r="V34" s="907" t="s">
        <v>1545</v>
      </c>
      <c r="W34" s="906" t="s">
        <v>1544</v>
      </c>
      <c r="X34" s="906" t="s">
        <v>726</v>
      </c>
      <c r="Y34" s="906" t="s">
        <v>1543</v>
      </c>
      <c r="Z34" s="906" t="s">
        <v>1542</v>
      </c>
      <c r="AA34" s="906" t="s">
        <v>1542</v>
      </c>
      <c r="AB34" s="906" t="s">
        <v>1542</v>
      </c>
      <c r="AC34" s="906" t="s">
        <v>726</v>
      </c>
    </row>
    <row r="35" spans="1:29" s="493" customFormat="1">
      <c r="A35" s="792">
        <v>1</v>
      </c>
      <c r="B35" s="903">
        <v>1000</v>
      </c>
      <c r="C35" s="898">
        <v>1</v>
      </c>
      <c r="D35" s="902">
        <f t="shared" ref="D35:D44" si="5">F17</f>
        <v>0.04</v>
      </c>
      <c r="E35" s="901">
        <f t="shared" ref="E35:E44" si="6">I17</f>
        <v>2.25</v>
      </c>
      <c r="F35" s="900">
        <f>1</f>
        <v>1</v>
      </c>
      <c r="G35" s="900">
        <f>B35/1000</f>
        <v>1</v>
      </c>
      <c r="H35" s="900">
        <f t="shared" ref="H35:H44" si="7">F35*G35</f>
        <v>1</v>
      </c>
      <c r="I35" s="900">
        <f>SUM(H35:H$44)/(F35*G35)</f>
        <v>8.2640546298460986</v>
      </c>
      <c r="J35" s="900">
        <f t="shared" ref="J35:J44" si="8">B35*(G35-G36)</f>
        <v>2.2499999999999742</v>
      </c>
      <c r="K35" s="900">
        <f t="shared" ref="K35:K44" si="9">G35*C35</f>
        <v>1</v>
      </c>
      <c r="L35" s="900">
        <f t="shared" ref="L35:L44" si="10">J35*F35</f>
        <v>2.2499999999999742</v>
      </c>
      <c r="M35" s="900">
        <f t="shared" ref="M35:M44" si="11">C35*F35*G35</f>
        <v>1</v>
      </c>
      <c r="N35" s="900">
        <f>SUM(L35:L$44)/(F35*G35)</f>
        <v>80.143867474483457</v>
      </c>
      <c r="O35" s="900">
        <f t="shared" ref="O35:O44" si="12">I35</f>
        <v>8.2640546298460986</v>
      </c>
      <c r="P35" s="905">
        <f>N35/O35</f>
        <v>9.6978869409985951</v>
      </c>
      <c r="Q35" s="900">
        <f t="shared" ref="Q35:Q44" si="13">N35-O35*P35*C35/C$35</f>
        <v>0</v>
      </c>
      <c r="R35" s="900">
        <f>(N36/O36)-F35*J35/(1+D35)</f>
        <v>8.5597325237689645</v>
      </c>
      <c r="S35" s="900">
        <f t="shared" ref="S35:S44" si="14">R$35*O35/O$35</f>
        <v>8.5597325237689645</v>
      </c>
      <c r="T35" s="900">
        <f>L35-U35</f>
        <v>8.6538461538460787E-2</v>
      </c>
      <c r="U35" s="900">
        <f>F35*J35/(1+D35)</f>
        <v>2.1634615384615135</v>
      </c>
      <c r="V35" s="900">
        <f t="shared" ref="V35:V44" si="15">B17/B$17</f>
        <v>1</v>
      </c>
      <c r="W35" s="899">
        <f>1000000</f>
        <v>1000000</v>
      </c>
      <c r="X35" s="899">
        <f t="shared" ref="X35:X44" si="16">W35*T35/B35</f>
        <v>86.538461538460794</v>
      </c>
      <c r="Y35" s="898">
        <f>B17/(W35/B35)</f>
        <v>5.2</v>
      </c>
      <c r="Z35" s="904">
        <f>J35-MIN(U35,Y35)</f>
        <v>8.6538461538460787E-2</v>
      </c>
      <c r="AA35" s="900">
        <f t="shared" ref="AA35:AA44" si="17">MAX(U35-Y35,0)*O35</f>
        <v>0</v>
      </c>
      <c r="AB35" s="900">
        <f t="shared" ref="AB35:AB44" si="18">W35/B35*AA35</f>
        <v>0</v>
      </c>
      <c r="AC35" s="900">
        <f t="shared" ref="AC35:AC44" si="19">W35/B35*AA35</f>
        <v>0</v>
      </c>
    </row>
    <row r="36" spans="1:29" s="493" customFormat="1">
      <c r="A36" s="792">
        <f t="shared" ref="A36:A44" si="20">A35+1</f>
        <v>2</v>
      </c>
      <c r="B36" s="903">
        <v>1000</v>
      </c>
      <c r="C36" s="898">
        <v>1</v>
      </c>
      <c r="D36" s="902">
        <f t="shared" si="5"/>
        <v>0.04</v>
      </c>
      <c r="E36" s="901">
        <f t="shared" si="6"/>
        <v>2.6</v>
      </c>
      <c r="F36" s="900">
        <f t="shared" ref="F36:F44" si="21">F35/(1+D35)</f>
        <v>0.96153846153846145</v>
      </c>
      <c r="G36" s="900">
        <f t="shared" ref="G36:G45" si="22">G35*(1-E35/1000)</f>
        <v>0.99775000000000003</v>
      </c>
      <c r="H36" s="900">
        <f t="shared" si="7"/>
        <v>0.95937499999999998</v>
      </c>
      <c r="I36" s="900">
        <f>SUM(H36:H$44)/(F36*G36)</f>
        <v>7.5716530343672677</v>
      </c>
      <c r="J36" s="900">
        <f t="shared" si="8"/>
        <v>2.5941500000000728</v>
      </c>
      <c r="K36" s="900">
        <f t="shared" si="9"/>
        <v>0.99775000000000003</v>
      </c>
      <c r="L36" s="900">
        <f t="shared" si="10"/>
        <v>2.49437500000007</v>
      </c>
      <c r="M36" s="900">
        <f t="shared" si="11"/>
        <v>0.95937499999999998</v>
      </c>
      <c r="N36" s="900">
        <f>SUM(L36:L$44)/(F36*G36)</f>
        <v>81.192304859396472</v>
      </c>
      <c r="O36" s="900">
        <f t="shared" si="12"/>
        <v>7.5716530343672677</v>
      </c>
      <c r="P36" s="900">
        <f t="shared" ref="P36:P44" si="23">P35</f>
        <v>9.6978869409985951</v>
      </c>
      <c r="Q36" s="900">
        <f t="shared" si="13"/>
        <v>7.7632697756337592</v>
      </c>
      <c r="R36" s="900"/>
      <c r="S36" s="900">
        <f t="shared" si="14"/>
        <v>7.8425576354369335</v>
      </c>
      <c r="T36" s="900">
        <f t="shared" ref="T36:T44" si="24">Q36-S36</f>
        <v>-7.9287859803174321E-2</v>
      </c>
      <c r="U36" s="900">
        <f>P35+R35</f>
        <v>18.257619464767558</v>
      </c>
      <c r="V36" s="900">
        <f t="shared" si="15"/>
        <v>0.96153846153846156</v>
      </c>
      <c r="W36" s="899">
        <f t="shared" ref="W36:W44" si="25">W$35*V36</f>
        <v>961538.46153846162</v>
      </c>
      <c r="X36" s="899">
        <f t="shared" si="16"/>
        <v>-76.238326733821467</v>
      </c>
      <c r="Y36" s="898">
        <f t="shared" ref="Y36:Y44" si="26">Y35</f>
        <v>5.2</v>
      </c>
      <c r="Z36" s="898">
        <f t="shared" ref="Z36:Z44" si="27">N36-MIN(Y36,U36)*O36</f>
        <v>41.819709080686678</v>
      </c>
      <c r="AA36" s="898">
        <f t="shared" si="17"/>
        <v>98.867764042020383</v>
      </c>
      <c r="AB36" s="898">
        <f t="shared" si="18"/>
        <v>95065.157732711916</v>
      </c>
      <c r="AC36" s="897">
        <f t="shared" si="19"/>
        <v>95065.157732711916</v>
      </c>
    </row>
    <row r="37" spans="1:29" s="493" customFormat="1">
      <c r="A37" s="792">
        <f t="shared" si="20"/>
        <v>3</v>
      </c>
      <c r="B37" s="903">
        <v>1000</v>
      </c>
      <c r="C37" s="898">
        <v>1</v>
      </c>
      <c r="D37" s="902">
        <f t="shared" si="5"/>
        <v>0.04</v>
      </c>
      <c r="E37" s="901">
        <f t="shared" si="6"/>
        <v>3.0978723404255319</v>
      </c>
      <c r="F37" s="900">
        <f t="shared" si="21"/>
        <v>0.92455621301775137</v>
      </c>
      <c r="G37" s="900">
        <f t="shared" si="22"/>
        <v>0.99515584999999995</v>
      </c>
      <c r="H37" s="900">
        <f t="shared" si="7"/>
        <v>0.92007752403846144</v>
      </c>
      <c r="I37" s="900">
        <f>SUM(H37:H$44)/(F37*G37)</f>
        <v>6.8523352273330245</v>
      </c>
      <c r="J37" s="900">
        <f t="shared" si="8"/>
        <v>3.0828657821276861</v>
      </c>
      <c r="K37" s="900">
        <f t="shared" si="9"/>
        <v>0.99515584999999995</v>
      </c>
      <c r="L37" s="900">
        <f t="shared" si="10"/>
        <v>2.8502827127659818</v>
      </c>
      <c r="M37" s="900">
        <f t="shared" si="11"/>
        <v>0.92007752403846144</v>
      </c>
      <c r="N37" s="900">
        <f>SUM(L37:L$44)/(F37*G37)</f>
        <v>81.949064621788921</v>
      </c>
      <c r="O37" s="900">
        <f t="shared" si="12"/>
        <v>6.8523352273330245</v>
      </c>
      <c r="P37" s="900">
        <f t="shared" si="23"/>
        <v>9.6978869409985951</v>
      </c>
      <c r="Q37" s="900">
        <f t="shared" si="13"/>
        <v>15.495892305291349</v>
      </c>
      <c r="R37" s="900"/>
      <c r="S37" s="900">
        <f t="shared" si="14"/>
        <v>7.097503506007512</v>
      </c>
      <c r="T37" s="900">
        <f t="shared" si="24"/>
        <v>8.3983887992838362</v>
      </c>
      <c r="U37" s="900">
        <f t="shared" ref="U37:U44" si="28">U36</f>
        <v>18.257619464767558</v>
      </c>
      <c r="V37" s="900">
        <f t="shared" si="15"/>
        <v>0.90384615384615385</v>
      </c>
      <c r="W37" s="899">
        <f t="shared" si="25"/>
        <v>903846.15384615387</v>
      </c>
      <c r="X37" s="899">
        <f t="shared" si="16"/>
        <v>7590.8514147373144</v>
      </c>
      <c r="Y37" s="898">
        <f t="shared" si="26"/>
        <v>5.2</v>
      </c>
      <c r="Z37" s="898">
        <f t="shared" si="27"/>
        <v>46.316921439657193</v>
      </c>
      <c r="AA37" s="898">
        <f t="shared" si="17"/>
        <v>89.475185843536138</v>
      </c>
      <c r="AB37" s="898">
        <f t="shared" si="18"/>
        <v>80871.802589349973</v>
      </c>
      <c r="AC37" s="897">
        <f t="shared" si="19"/>
        <v>80871.802589349973</v>
      </c>
    </row>
    <row r="38" spans="1:29" s="493" customFormat="1">
      <c r="A38" s="792">
        <f t="shared" si="20"/>
        <v>4</v>
      </c>
      <c r="B38" s="903">
        <v>1000</v>
      </c>
      <c r="C38" s="898">
        <v>1</v>
      </c>
      <c r="D38" s="902">
        <f t="shared" si="5"/>
        <v>0.04</v>
      </c>
      <c r="E38" s="901">
        <f t="shared" si="6"/>
        <v>3.9</v>
      </c>
      <c r="F38" s="900">
        <f t="shared" si="21"/>
        <v>0.88899635867091475</v>
      </c>
      <c r="G38" s="900">
        <f t="shared" si="22"/>
        <v>0.99207298421787227</v>
      </c>
      <c r="H38" s="900">
        <f t="shared" si="7"/>
        <v>0.88194927050547633</v>
      </c>
      <c r="I38" s="900">
        <f>SUM(H38:H$44)/(F38*G38)</f>
        <v>6.1053422071787979</v>
      </c>
      <c r="J38" s="900">
        <f t="shared" si="8"/>
        <v>3.8690846384497046</v>
      </c>
      <c r="K38" s="900">
        <f t="shared" si="9"/>
        <v>0.99207298421787227</v>
      </c>
      <c r="L38" s="900">
        <f t="shared" si="10"/>
        <v>3.43960215497136</v>
      </c>
      <c r="M38" s="900">
        <f t="shared" si="11"/>
        <v>0.88194927050547633</v>
      </c>
      <c r="N38" s="900">
        <f>SUM(L38:L$44)/(F38*G38)</f>
        <v>82.260071171822517</v>
      </c>
      <c r="O38" s="900">
        <f t="shared" si="12"/>
        <v>6.1053422071787979</v>
      </c>
      <c r="P38" s="900">
        <f t="shared" si="23"/>
        <v>9.6978869409985951</v>
      </c>
      <c r="Q38" s="900">
        <f t="shared" si="13"/>
        <v>23.051152710495714</v>
      </c>
      <c r="R38" s="900"/>
      <c r="S38" s="900">
        <f t="shared" si="14"/>
        <v>6.3237839777568103</v>
      </c>
      <c r="T38" s="900">
        <f t="shared" si="24"/>
        <v>16.727368732738903</v>
      </c>
      <c r="U38" s="900">
        <f t="shared" si="28"/>
        <v>18.257619464767558</v>
      </c>
      <c r="V38" s="900">
        <f t="shared" si="15"/>
        <v>0.80769230769230771</v>
      </c>
      <c r="W38" s="899">
        <f t="shared" si="25"/>
        <v>807692.30769230775</v>
      </c>
      <c r="X38" s="899">
        <f t="shared" si="16"/>
        <v>13510.567053366038</v>
      </c>
      <c r="Y38" s="898">
        <f t="shared" si="26"/>
        <v>5.2</v>
      </c>
      <c r="Z38" s="898">
        <f t="shared" si="27"/>
        <v>50.512291694492767</v>
      </c>
      <c r="AA38" s="898">
        <f t="shared" si="17"/>
        <v>79.721235243524802</v>
      </c>
      <c r="AB38" s="898">
        <f t="shared" si="18"/>
        <v>64390.228465923879</v>
      </c>
      <c r="AC38" s="897">
        <f t="shared" si="19"/>
        <v>64390.228465923879</v>
      </c>
    </row>
    <row r="39" spans="1:29" s="493" customFormat="1">
      <c r="A39" s="792">
        <f t="shared" si="20"/>
        <v>5</v>
      </c>
      <c r="B39" s="903">
        <v>1000</v>
      </c>
      <c r="C39" s="898">
        <v>1</v>
      </c>
      <c r="D39" s="902">
        <f t="shared" si="5"/>
        <v>0.04</v>
      </c>
      <c r="E39" s="901">
        <f t="shared" si="6"/>
        <v>5.274285714285714</v>
      </c>
      <c r="F39" s="900">
        <f t="shared" si="21"/>
        <v>0.85480419102972571</v>
      </c>
      <c r="G39" s="900">
        <f t="shared" si="22"/>
        <v>0.98820389957942256</v>
      </c>
      <c r="H39" s="900">
        <f t="shared" si="7"/>
        <v>0.84472083495240857</v>
      </c>
      <c r="I39" s="900">
        <f>SUM(H39:H$44)/(F39*G39)</f>
        <v>5.3303442379941277</v>
      </c>
      <c r="J39" s="900">
        <f t="shared" si="8"/>
        <v>5.212069710353151</v>
      </c>
      <c r="K39" s="900">
        <f t="shared" si="9"/>
        <v>0.98820389957942256</v>
      </c>
      <c r="L39" s="900">
        <f t="shared" si="10"/>
        <v>4.4552990323489619</v>
      </c>
      <c r="M39" s="900">
        <f t="shared" si="11"/>
        <v>0.84472083495240857</v>
      </c>
      <c r="N39" s="900">
        <f>SUM(L39:L$44)/(F39*G39)</f>
        <v>81.813546851415936</v>
      </c>
      <c r="O39" s="900">
        <f t="shared" si="12"/>
        <v>5.3303442379941277</v>
      </c>
      <c r="P39" s="900">
        <f t="shared" si="23"/>
        <v>9.6978869409985951</v>
      </c>
      <c r="Q39" s="900">
        <f t="shared" si="13"/>
        <v>30.120471074745581</v>
      </c>
      <c r="R39" s="900"/>
      <c r="S39" s="900">
        <f t="shared" si="14"/>
        <v>5.5210575172217284</v>
      </c>
      <c r="T39" s="900">
        <f t="shared" si="24"/>
        <v>24.599413557523853</v>
      </c>
      <c r="U39" s="900">
        <f t="shared" si="28"/>
        <v>18.257619464767558</v>
      </c>
      <c r="V39" s="900">
        <f t="shared" si="15"/>
        <v>0.67307692307692313</v>
      </c>
      <c r="W39" s="899">
        <f t="shared" si="25"/>
        <v>673076.92307692312</v>
      </c>
      <c r="X39" s="899">
        <f t="shared" si="16"/>
        <v>16557.297586794903</v>
      </c>
      <c r="Y39" s="898">
        <f t="shared" si="26"/>
        <v>5.2</v>
      </c>
      <c r="Z39" s="898">
        <f t="shared" si="27"/>
        <v>54.095756813846471</v>
      </c>
      <c r="AA39" s="898">
        <f t="shared" si="17"/>
        <v>69.601606675943728</v>
      </c>
      <c r="AB39" s="898">
        <f t="shared" si="18"/>
        <v>46847.235262654431</v>
      </c>
      <c r="AC39" s="897">
        <f t="shared" si="19"/>
        <v>46847.235262654431</v>
      </c>
    </row>
    <row r="40" spans="1:29" s="493" customFormat="1">
      <c r="A40" s="792">
        <f t="shared" si="20"/>
        <v>6</v>
      </c>
      <c r="B40" s="903">
        <v>1000</v>
      </c>
      <c r="C40" s="898">
        <v>1</v>
      </c>
      <c r="D40" s="902">
        <f t="shared" si="5"/>
        <v>0.04</v>
      </c>
      <c r="E40" s="901">
        <f t="shared" si="6"/>
        <v>7.4285714285714297</v>
      </c>
      <c r="F40" s="900">
        <f t="shared" si="21"/>
        <v>0.82192710675935166</v>
      </c>
      <c r="G40" s="900">
        <f t="shared" si="22"/>
        <v>0.98299182986906941</v>
      </c>
      <c r="H40" s="900">
        <f t="shared" si="7"/>
        <v>0.80794763069236508</v>
      </c>
      <c r="I40" s="900">
        <f>SUM(H40:H$44)/(F40*G40)</f>
        <v>4.5274370038254972</v>
      </c>
      <c r="J40" s="900">
        <f t="shared" si="8"/>
        <v>7.3022250218844897</v>
      </c>
      <c r="K40" s="900">
        <f t="shared" si="9"/>
        <v>0.98299182986906941</v>
      </c>
      <c r="L40" s="900">
        <f t="shared" si="10"/>
        <v>6.0018966851432616</v>
      </c>
      <c r="M40" s="900">
        <f t="shared" si="11"/>
        <v>0.80794763069236508</v>
      </c>
      <c r="N40" s="900">
        <f>SUM(L40:L$44)/(F40*G40)</f>
        <v>80.02289519556119</v>
      </c>
      <c r="O40" s="900">
        <f t="shared" si="12"/>
        <v>4.5274370038254972</v>
      </c>
      <c r="P40" s="900">
        <f t="shared" si="23"/>
        <v>9.6978869409985951</v>
      </c>
      <c r="Q40" s="900">
        <f t="shared" si="13"/>
        <v>36.116322999968098</v>
      </c>
      <c r="R40" s="900"/>
      <c r="S40" s="900">
        <f t="shared" si="14"/>
        <v>4.6894232319083704</v>
      </c>
      <c r="T40" s="900">
        <f t="shared" si="24"/>
        <v>31.426899768059727</v>
      </c>
      <c r="U40" s="900">
        <f t="shared" si="28"/>
        <v>18.257619464767558</v>
      </c>
      <c r="V40" s="900">
        <f t="shared" si="15"/>
        <v>0.53846153846153844</v>
      </c>
      <c r="W40" s="899">
        <f t="shared" si="25"/>
        <v>538461.53846153838</v>
      </c>
      <c r="X40" s="899">
        <f t="shared" si="16"/>
        <v>16922.176798186003</v>
      </c>
      <c r="Y40" s="898">
        <f t="shared" si="26"/>
        <v>5.2</v>
      </c>
      <c r="Z40" s="898">
        <f t="shared" si="27"/>
        <v>56.480222775668608</v>
      </c>
      <c r="AA40" s="898">
        <f t="shared" si="17"/>
        <v>59.117549546660726</v>
      </c>
      <c r="AB40" s="898">
        <f t="shared" si="18"/>
        <v>31832.526678971153</v>
      </c>
      <c r="AC40" s="897">
        <f t="shared" si="19"/>
        <v>31832.526678971153</v>
      </c>
    </row>
    <row r="41" spans="1:29" s="493" customFormat="1">
      <c r="A41" s="792">
        <f t="shared" si="20"/>
        <v>7</v>
      </c>
      <c r="B41" s="903">
        <v>1000</v>
      </c>
      <c r="C41" s="898">
        <v>1</v>
      </c>
      <c r="D41" s="902">
        <f t="shared" si="5"/>
        <v>0.04</v>
      </c>
      <c r="E41" s="901">
        <f t="shared" si="6"/>
        <v>10.636363636363637</v>
      </c>
      <c r="F41" s="900">
        <f t="shared" si="21"/>
        <v>0.79031452573014582</v>
      </c>
      <c r="G41" s="900">
        <f t="shared" si="22"/>
        <v>0.97568960484718492</v>
      </c>
      <c r="H41" s="900">
        <f t="shared" si="7"/>
        <v>0.77110166731463636</v>
      </c>
      <c r="I41" s="900">
        <f>SUM(H41:H$44)/(F41*G41)</f>
        <v>3.695990412759012</v>
      </c>
      <c r="J41" s="900">
        <f t="shared" si="8"/>
        <v>10.377789433374641</v>
      </c>
      <c r="K41" s="900">
        <f t="shared" si="9"/>
        <v>0.97568960484718492</v>
      </c>
      <c r="L41" s="900">
        <f t="shared" si="10"/>
        <v>8.2017177341647987</v>
      </c>
      <c r="M41" s="900">
        <f t="shared" si="11"/>
        <v>0.77110166731463636</v>
      </c>
      <c r="N41" s="900">
        <f>SUM(L41:L$44)/(F41*G41)</f>
        <v>76.063137165182169</v>
      </c>
      <c r="O41" s="900">
        <f t="shared" si="12"/>
        <v>3.695990412759012</v>
      </c>
      <c r="P41" s="900">
        <f t="shared" si="23"/>
        <v>9.6978869409985951</v>
      </c>
      <c r="Q41" s="900">
        <f t="shared" si="13"/>
        <v>40.219840007230538</v>
      </c>
      <c r="R41" s="900"/>
      <c r="S41" s="900">
        <f t="shared" si="14"/>
        <v>3.8282284859751421</v>
      </c>
      <c r="T41" s="900">
        <f t="shared" si="24"/>
        <v>36.391611521255399</v>
      </c>
      <c r="U41" s="900">
        <f t="shared" si="28"/>
        <v>18.257619464767558</v>
      </c>
      <c r="V41" s="900">
        <f t="shared" si="15"/>
        <v>0.42307692307692307</v>
      </c>
      <c r="W41" s="899">
        <f t="shared" si="25"/>
        <v>423076.92307692306</v>
      </c>
      <c r="X41" s="899">
        <f t="shared" si="16"/>
        <v>15396.451028223439</v>
      </c>
      <c r="Y41" s="898">
        <f t="shared" si="26"/>
        <v>5.2</v>
      </c>
      <c r="Z41" s="898">
        <f t="shared" si="27"/>
        <v>56.843987018835307</v>
      </c>
      <c r="AA41" s="898">
        <f t="shared" si="17"/>
        <v>48.260836355236357</v>
      </c>
      <c r="AB41" s="898">
        <f t="shared" si="18"/>
        <v>20418.046150292303</v>
      </c>
      <c r="AC41" s="897">
        <f t="shared" si="19"/>
        <v>20418.046150292303</v>
      </c>
    </row>
    <row r="42" spans="1:29" s="493" customFormat="1">
      <c r="A42" s="792">
        <f t="shared" si="20"/>
        <v>8</v>
      </c>
      <c r="B42" s="903">
        <v>1000</v>
      </c>
      <c r="C42" s="898">
        <v>1</v>
      </c>
      <c r="D42" s="902">
        <f t="shared" si="5"/>
        <v>0.04</v>
      </c>
      <c r="E42" s="901">
        <f t="shared" si="6"/>
        <v>16.058823529411764</v>
      </c>
      <c r="F42" s="900">
        <f t="shared" si="21"/>
        <v>0.75991781320206331</v>
      </c>
      <c r="G42" s="900">
        <f t="shared" si="22"/>
        <v>0.96531181541381028</v>
      </c>
      <c r="H42" s="900">
        <f t="shared" si="7"/>
        <v>0.73355764382737654</v>
      </c>
      <c r="I42" s="900">
        <f>SUM(H42:H$44)/(F42*G42)</f>
        <v>2.8339731987469539</v>
      </c>
      <c r="J42" s="900">
        <f t="shared" si="8"/>
        <v>15.501772094586475</v>
      </c>
      <c r="K42" s="900">
        <f t="shared" si="9"/>
        <v>0.96531181541381028</v>
      </c>
      <c r="L42" s="900">
        <f t="shared" si="10"/>
        <v>11.780072750874922</v>
      </c>
      <c r="M42" s="900">
        <f t="shared" si="11"/>
        <v>0.73355764382737654</v>
      </c>
      <c r="N42" s="900">
        <f>SUM(L42:L$44)/(F42*G42)</f>
        <v>68.77536425339369</v>
      </c>
      <c r="O42" s="900">
        <f t="shared" si="12"/>
        <v>2.8339731987469539</v>
      </c>
      <c r="P42" s="900">
        <f t="shared" si="23"/>
        <v>9.6978869409985951</v>
      </c>
      <c r="Q42" s="900">
        <f t="shared" si="13"/>
        <v>41.291812578125587</v>
      </c>
      <c r="R42" s="900"/>
      <c r="S42" s="900">
        <f t="shared" si="14"/>
        <v>2.9353693371283565</v>
      </c>
      <c r="T42" s="900">
        <f t="shared" si="24"/>
        <v>38.35644324099723</v>
      </c>
      <c r="U42" s="900">
        <f t="shared" si="28"/>
        <v>18.257619464767558</v>
      </c>
      <c r="V42" s="900">
        <f t="shared" si="15"/>
        <v>0.32692307692307693</v>
      </c>
      <c r="W42" s="899">
        <f t="shared" si="25"/>
        <v>326923.07692307694</v>
      </c>
      <c r="X42" s="899">
        <f t="shared" si="16"/>
        <v>12539.606444172172</v>
      </c>
      <c r="Y42" s="898">
        <f t="shared" si="26"/>
        <v>5.2</v>
      </c>
      <c r="Z42" s="898">
        <f t="shared" si="27"/>
        <v>54.038703619909526</v>
      </c>
      <c r="AA42" s="898">
        <f t="shared" si="17"/>
        <v>37.004943602587808</v>
      </c>
      <c r="AB42" s="898">
        <f t="shared" si="18"/>
        <v>12097.770023922938</v>
      </c>
      <c r="AC42" s="897">
        <f t="shared" si="19"/>
        <v>12097.770023922938</v>
      </c>
    </row>
    <row r="43" spans="1:29" s="493" customFormat="1">
      <c r="A43" s="792">
        <f t="shared" si="20"/>
        <v>9</v>
      </c>
      <c r="B43" s="903">
        <v>1000</v>
      </c>
      <c r="C43" s="898">
        <v>1</v>
      </c>
      <c r="D43" s="902">
        <f t="shared" si="5"/>
        <v>0.04</v>
      </c>
      <c r="E43" s="901">
        <f t="shared" si="6"/>
        <v>24</v>
      </c>
      <c r="F43" s="900">
        <f t="shared" si="21"/>
        <v>0.73069020500198389</v>
      </c>
      <c r="G43" s="900">
        <f t="shared" si="22"/>
        <v>0.94981004331922381</v>
      </c>
      <c r="H43" s="900">
        <f t="shared" si="7"/>
        <v>0.69401689526586685</v>
      </c>
      <c r="I43" s="900">
        <f>SUM(H43:H$44)/(F43*G43)</f>
        <v>1.9384615384615385</v>
      </c>
      <c r="J43" s="900">
        <f t="shared" si="8"/>
        <v>22.795441039661355</v>
      </c>
      <c r="K43" s="900">
        <f t="shared" si="9"/>
        <v>0.94981004331922381</v>
      </c>
      <c r="L43" s="900">
        <f t="shared" si="10"/>
        <v>16.656405486380791</v>
      </c>
      <c r="M43" s="900">
        <f t="shared" si="11"/>
        <v>0.69401689526586685</v>
      </c>
      <c r="N43" s="900">
        <f>SUM(L43:L$44)/(F43*G43)</f>
        <v>55.720000000000041</v>
      </c>
      <c r="O43" s="900">
        <f t="shared" si="12"/>
        <v>1.9384615384615385</v>
      </c>
      <c r="P43" s="900">
        <f t="shared" si="23"/>
        <v>9.6978869409985951</v>
      </c>
      <c r="Q43" s="900">
        <f t="shared" si="13"/>
        <v>36.921019160525844</v>
      </c>
      <c r="R43" s="900"/>
      <c r="S43" s="900">
        <f t="shared" si="14"/>
        <v>2.0078173511727453</v>
      </c>
      <c r="T43" s="900">
        <f t="shared" si="24"/>
        <v>34.913201809353097</v>
      </c>
      <c r="U43" s="900">
        <f t="shared" si="28"/>
        <v>18.257619464767558</v>
      </c>
      <c r="V43" s="900">
        <f t="shared" si="15"/>
        <v>0.25</v>
      </c>
      <c r="W43" s="899">
        <f t="shared" si="25"/>
        <v>250000</v>
      </c>
      <c r="X43" s="899">
        <f t="shared" si="16"/>
        <v>8728.3004523382751</v>
      </c>
      <c r="Y43" s="898">
        <f t="shared" si="26"/>
        <v>5.2</v>
      </c>
      <c r="Z43" s="898">
        <f t="shared" si="27"/>
        <v>45.640000000000043</v>
      </c>
      <c r="AA43" s="898">
        <f t="shared" si="17"/>
        <v>25.311693116318651</v>
      </c>
      <c r="AB43" s="898">
        <f t="shared" si="18"/>
        <v>6327.9232790796623</v>
      </c>
      <c r="AC43" s="897">
        <f t="shared" si="19"/>
        <v>6327.9232790796623</v>
      </c>
    </row>
    <row r="44" spans="1:29" s="493" customFormat="1">
      <c r="A44" s="792">
        <f t="shared" si="20"/>
        <v>10</v>
      </c>
      <c r="B44" s="903">
        <v>1000</v>
      </c>
      <c r="C44" s="898">
        <v>1</v>
      </c>
      <c r="D44" s="902">
        <f t="shared" si="5"/>
        <v>0.04</v>
      </c>
      <c r="E44" s="901">
        <f t="shared" si="6"/>
        <v>33.799999999999997</v>
      </c>
      <c r="F44" s="900">
        <f t="shared" si="21"/>
        <v>0.70258673557883067</v>
      </c>
      <c r="G44" s="900">
        <f t="shared" si="22"/>
        <v>0.92701460227956245</v>
      </c>
      <c r="H44" s="900">
        <f t="shared" si="7"/>
        <v>0.6513081632495058</v>
      </c>
      <c r="I44" s="900">
        <f>SUM(H44:H$44)/(F44*G44)</f>
        <v>1</v>
      </c>
      <c r="J44" s="900">
        <f t="shared" si="8"/>
        <v>31.333093557049274</v>
      </c>
      <c r="K44" s="900">
        <f t="shared" si="9"/>
        <v>0.92701460227956245</v>
      </c>
      <c r="L44" s="900">
        <f t="shared" si="10"/>
        <v>22.01421591783334</v>
      </c>
      <c r="M44" s="900">
        <f t="shared" si="11"/>
        <v>0.6513081632495058</v>
      </c>
      <c r="N44" s="900">
        <f>SUM(L44:L$44)/(F44*G44)</f>
        <v>33.800000000000068</v>
      </c>
      <c r="O44" s="900">
        <f t="shared" si="12"/>
        <v>1</v>
      </c>
      <c r="P44" s="900">
        <f t="shared" si="23"/>
        <v>9.6978869409985951</v>
      </c>
      <c r="Q44" s="900">
        <f t="shared" si="13"/>
        <v>24.102113059001475</v>
      </c>
      <c r="R44" s="900"/>
      <c r="S44" s="900">
        <f t="shared" si="14"/>
        <v>1.0357787922716541</v>
      </c>
      <c r="T44" s="900">
        <f t="shared" si="24"/>
        <v>23.066334266729822</v>
      </c>
      <c r="U44" s="900">
        <f t="shared" si="28"/>
        <v>18.257619464767558</v>
      </c>
      <c r="V44" s="900">
        <f t="shared" si="15"/>
        <v>0.19230769230769232</v>
      </c>
      <c r="W44" s="899">
        <f t="shared" si="25"/>
        <v>192307.69230769231</v>
      </c>
      <c r="X44" s="899">
        <f t="shared" si="16"/>
        <v>4435.833512832658</v>
      </c>
      <c r="Y44" s="898">
        <f t="shared" si="26"/>
        <v>5.2</v>
      </c>
      <c r="Z44" s="898">
        <f t="shared" si="27"/>
        <v>28.600000000000069</v>
      </c>
      <c r="AA44" s="898">
        <f t="shared" si="17"/>
        <v>13.057619464767559</v>
      </c>
      <c r="AB44" s="898">
        <f t="shared" si="18"/>
        <v>2511.0806663014537</v>
      </c>
      <c r="AC44" s="897">
        <f t="shared" si="19"/>
        <v>2511.0806663014537</v>
      </c>
    </row>
    <row r="45" spans="1:29" s="493" customFormat="1">
      <c r="G45" s="493">
        <f t="shared" si="22"/>
        <v>0.89568150872251318</v>
      </c>
    </row>
    <row r="46" spans="1:29" s="493" customFormat="1" ht="15.6">
      <c r="A46" s="883" t="s">
        <v>1541</v>
      </c>
    </row>
    <row r="63" spans="1:1" s="493" customFormat="1" ht="15.6">
      <c r="A63" s="762" t="s">
        <v>1540</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DF0AF-F6D7-4C30-93FA-AF8DE10C0EE7}">
  <sheetPr>
    <tabColor theme="5" tint="0.79998168889431442"/>
  </sheetPr>
  <dimension ref="A1:AC51"/>
  <sheetViews>
    <sheetView zoomScaleNormal="100" workbookViewId="0">
      <selection activeCell="I21" sqref="I21"/>
    </sheetView>
  </sheetViews>
  <sheetFormatPr defaultColWidth="8.21875" defaultRowHeight="13.2"/>
  <cols>
    <col min="1" max="7" width="10.77734375" style="936" customWidth="1"/>
    <col min="8" max="8" width="12.77734375" style="936" customWidth="1"/>
    <col min="9" max="9" width="15.77734375" style="936" customWidth="1"/>
    <col min="10" max="10" width="15" style="936" bestFit="1" customWidth="1"/>
    <col min="11" max="11" width="11.5546875" style="936" customWidth="1"/>
    <col min="12" max="12" width="15" style="936" customWidth="1"/>
    <col min="13" max="13" width="17.5546875" style="936" customWidth="1"/>
    <col min="14" max="14" width="18.21875" style="936" bestFit="1" customWidth="1"/>
    <col min="15" max="15" width="16.5546875" style="936" bestFit="1" customWidth="1"/>
    <col min="16" max="17" width="15.5546875" style="936" bestFit="1" customWidth="1"/>
    <col min="18" max="18" width="12.77734375" style="936" bestFit="1" customWidth="1"/>
    <col min="19" max="19" width="11.77734375" style="936" bestFit="1" customWidth="1"/>
    <col min="20" max="20" width="15.44140625" style="936" bestFit="1" customWidth="1"/>
    <col min="21" max="21" width="11.77734375" style="936" bestFit="1" customWidth="1"/>
    <col min="22" max="22" width="11.21875" style="936" bestFit="1" customWidth="1"/>
    <col min="23" max="23" width="14.21875" style="936" bestFit="1" customWidth="1"/>
    <col min="24" max="24" width="11.5546875" style="936" bestFit="1" customWidth="1"/>
    <col min="25" max="25" width="8.5546875" style="936" bestFit="1" customWidth="1"/>
    <col min="26" max="26" width="15.44140625" style="936" bestFit="1" customWidth="1"/>
    <col min="27" max="27" width="13.77734375" style="936" customWidth="1"/>
    <col min="28" max="28" width="13.77734375" style="936" bestFit="1" customWidth="1"/>
    <col min="29" max="29" width="11.5546875" style="936" bestFit="1" customWidth="1"/>
    <col min="30" max="16384" width="8.21875" style="936"/>
  </cols>
  <sheetData>
    <row r="1" spans="1:19">
      <c r="A1" s="973" t="s">
        <v>1607</v>
      </c>
    </row>
    <row r="2" spans="1:19">
      <c r="F2" s="972"/>
      <c r="N2" s="936" t="s">
        <v>1606</v>
      </c>
    </row>
    <row r="3" spans="1:19">
      <c r="A3" s="936" t="s">
        <v>1576</v>
      </c>
      <c r="I3" s="961" t="s">
        <v>1219</v>
      </c>
      <c r="L3" s="961"/>
    </row>
    <row r="4" spans="1:19">
      <c r="B4" s="961"/>
      <c r="C4" s="961"/>
      <c r="D4" s="961"/>
      <c r="E4" s="961"/>
      <c r="F4" s="961" t="s">
        <v>1189</v>
      </c>
      <c r="G4" s="961" t="s">
        <v>1059</v>
      </c>
      <c r="I4" s="961" t="s">
        <v>1059</v>
      </c>
      <c r="J4" s="961" t="s">
        <v>1559</v>
      </c>
      <c r="K4" s="961" t="s">
        <v>1255</v>
      </c>
      <c r="L4" s="961" t="s">
        <v>1219</v>
      </c>
      <c r="M4" s="961" t="s">
        <v>1559</v>
      </c>
      <c r="N4" s="971">
        <v>44926</v>
      </c>
    </row>
    <row r="5" spans="1:19">
      <c r="A5" s="961" t="s">
        <v>1568</v>
      </c>
      <c r="B5" s="961" t="s">
        <v>166</v>
      </c>
      <c r="C5" s="961" t="s">
        <v>1255</v>
      </c>
      <c r="D5" s="961"/>
      <c r="E5" s="961" t="s">
        <v>378</v>
      </c>
      <c r="F5" s="961" t="s">
        <v>1605</v>
      </c>
      <c r="G5" s="961" t="s">
        <v>1193</v>
      </c>
      <c r="H5" s="961" t="s">
        <v>1575</v>
      </c>
      <c r="I5" s="961" t="s">
        <v>1012</v>
      </c>
      <c r="J5" s="961" t="s">
        <v>1574</v>
      </c>
      <c r="K5" s="961" t="s">
        <v>165</v>
      </c>
      <c r="L5" s="961" t="s">
        <v>1559</v>
      </c>
      <c r="M5" s="961" t="s">
        <v>1011</v>
      </c>
      <c r="N5" s="961" t="s">
        <v>170</v>
      </c>
    </row>
    <row r="6" spans="1:19">
      <c r="A6" s="961" t="s">
        <v>374</v>
      </c>
      <c r="B6" s="961" t="s">
        <v>1604</v>
      </c>
      <c r="C6" s="961" t="s">
        <v>165</v>
      </c>
      <c r="D6" s="961" t="s">
        <v>168</v>
      </c>
      <c r="E6" s="961" t="s">
        <v>1603</v>
      </c>
      <c r="F6" s="961" t="s">
        <v>1602</v>
      </c>
      <c r="G6" s="961" t="s">
        <v>1195</v>
      </c>
      <c r="H6" s="961" t="s">
        <v>1573</v>
      </c>
      <c r="I6" s="961" t="s">
        <v>1195</v>
      </c>
      <c r="J6" s="961" t="s">
        <v>1572</v>
      </c>
      <c r="K6" s="961" t="s">
        <v>1543</v>
      </c>
      <c r="L6" s="961" t="s">
        <v>1012</v>
      </c>
      <c r="M6" s="961" t="s">
        <v>1195</v>
      </c>
      <c r="N6" s="961" t="s">
        <v>726</v>
      </c>
    </row>
    <row r="7" spans="1:19">
      <c r="A7" s="936">
        <v>2022</v>
      </c>
      <c r="B7" s="958">
        <v>5200</v>
      </c>
      <c r="C7" s="958">
        <v>2250</v>
      </c>
      <c r="D7" s="958">
        <v>2500</v>
      </c>
      <c r="E7" s="958">
        <f t="shared" ref="E7:E16" si="0">C7+D7</f>
        <v>4750</v>
      </c>
      <c r="F7" s="958">
        <f t="shared" ref="F7:F16" si="1">B7-E7</f>
        <v>450</v>
      </c>
      <c r="G7" s="970">
        <f t="shared" ref="G7:G16" si="2">0.035</f>
        <v>3.5000000000000003E-2</v>
      </c>
      <c r="H7" s="970">
        <f t="shared" ref="H7:H16" si="3">0.04</f>
        <v>0.04</v>
      </c>
      <c r="I7" s="969">
        <v>4.22</v>
      </c>
      <c r="J7" s="958">
        <f>1000000</f>
        <v>1000000</v>
      </c>
      <c r="K7" s="958">
        <v>1000</v>
      </c>
      <c r="L7" s="968">
        <f t="shared" ref="L7:L16" si="4">C7/J7*1000</f>
        <v>2.25</v>
      </c>
      <c r="M7" s="967">
        <v>3.6200000000000003E-2</v>
      </c>
      <c r="N7" s="966"/>
    </row>
    <row r="8" spans="1:19">
      <c r="A8" s="936">
        <f t="shared" ref="A8:A16" si="5">A7+1</f>
        <v>2023</v>
      </c>
      <c r="B8" s="958">
        <v>5000</v>
      </c>
      <c r="C8" s="958">
        <v>2500</v>
      </c>
      <c r="D8" s="958">
        <v>1300</v>
      </c>
      <c r="E8" s="958">
        <f t="shared" si="0"/>
        <v>3800</v>
      </c>
      <c r="F8" s="958">
        <f t="shared" si="1"/>
        <v>1200</v>
      </c>
      <c r="G8" s="970">
        <f t="shared" si="2"/>
        <v>3.5000000000000003E-2</v>
      </c>
      <c r="H8" s="970">
        <f t="shared" si="3"/>
        <v>0.04</v>
      </c>
      <c r="I8" s="969">
        <v>4.58</v>
      </c>
      <c r="J8" s="958">
        <f t="shared" ref="J8:J16" si="6">B8/B$7*J$7</f>
        <v>961538.46153846162</v>
      </c>
      <c r="K8" s="958">
        <v>1000</v>
      </c>
      <c r="L8" s="968">
        <f t="shared" si="4"/>
        <v>2.6</v>
      </c>
      <c r="M8" s="967">
        <v>5.74E-2</v>
      </c>
      <c r="N8" s="966">
        <f t="shared" ref="N8:N16" si="7">-F8/(1+H8)^(A8-2023)</f>
        <v>-1200</v>
      </c>
    </row>
    <row r="9" spans="1:19">
      <c r="A9" s="936">
        <f t="shared" si="5"/>
        <v>2024</v>
      </c>
      <c r="B9" s="958">
        <v>4700</v>
      </c>
      <c r="C9" s="958">
        <v>2800</v>
      </c>
      <c r="D9" s="958">
        <v>500</v>
      </c>
      <c r="E9" s="958">
        <f t="shared" si="0"/>
        <v>3300</v>
      </c>
      <c r="F9" s="958">
        <f t="shared" si="1"/>
        <v>1400</v>
      </c>
      <c r="G9" s="970">
        <f t="shared" si="2"/>
        <v>3.5000000000000003E-2</v>
      </c>
      <c r="H9" s="970">
        <f t="shared" si="3"/>
        <v>0.04</v>
      </c>
      <c r="I9" s="969">
        <v>5</v>
      </c>
      <c r="J9" s="958">
        <f t="shared" si="6"/>
        <v>903846.15384615387</v>
      </c>
      <c r="K9" s="958">
        <v>1000</v>
      </c>
      <c r="L9" s="968">
        <f t="shared" si="4"/>
        <v>3.0978723404255319</v>
      </c>
      <c r="M9" s="967">
        <v>0.1033</v>
      </c>
      <c r="N9" s="966">
        <f t="shared" si="7"/>
        <v>-1346.1538461538462</v>
      </c>
    </row>
    <row r="10" spans="1:19">
      <c r="A10" s="936">
        <f t="shared" si="5"/>
        <v>2025</v>
      </c>
      <c r="B10" s="958">
        <v>4200</v>
      </c>
      <c r="C10" s="958">
        <v>3150</v>
      </c>
      <c r="D10" s="958">
        <v>400</v>
      </c>
      <c r="E10" s="958">
        <f t="shared" si="0"/>
        <v>3550</v>
      </c>
      <c r="F10" s="958">
        <f t="shared" si="1"/>
        <v>650</v>
      </c>
      <c r="G10" s="970">
        <f t="shared" si="2"/>
        <v>3.5000000000000003E-2</v>
      </c>
      <c r="H10" s="970">
        <f t="shared" si="3"/>
        <v>0.04</v>
      </c>
      <c r="I10" s="969">
        <v>5.48</v>
      </c>
      <c r="J10" s="958">
        <f t="shared" si="6"/>
        <v>807692.30769230775</v>
      </c>
      <c r="K10" s="958">
        <v>1000</v>
      </c>
      <c r="L10" s="968">
        <f t="shared" si="4"/>
        <v>3.9</v>
      </c>
      <c r="M10" s="967">
        <v>0.1628</v>
      </c>
      <c r="N10" s="966">
        <f t="shared" si="7"/>
        <v>-600.96153846153845</v>
      </c>
    </row>
    <row r="11" spans="1:19">
      <c r="A11" s="936">
        <f t="shared" si="5"/>
        <v>2026</v>
      </c>
      <c r="B11" s="958">
        <v>3500</v>
      </c>
      <c r="C11" s="958">
        <v>3550</v>
      </c>
      <c r="D11" s="958">
        <v>300</v>
      </c>
      <c r="E11" s="958">
        <f t="shared" si="0"/>
        <v>3850</v>
      </c>
      <c r="F11" s="958">
        <f t="shared" si="1"/>
        <v>-350</v>
      </c>
      <c r="G11" s="970">
        <f t="shared" si="2"/>
        <v>3.5000000000000003E-2</v>
      </c>
      <c r="H11" s="970">
        <f t="shared" si="3"/>
        <v>0.04</v>
      </c>
      <c r="I11" s="969">
        <v>6.04</v>
      </c>
      <c r="J11" s="958">
        <f t="shared" si="6"/>
        <v>673076.92307692312</v>
      </c>
      <c r="K11" s="958">
        <v>1000</v>
      </c>
      <c r="L11" s="968">
        <f t="shared" si="4"/>
        <v>5.274285714285714</v>
      </c>
      <c r="M11" s="967">
        <v>0.19470000000000001</v>
      </c>
      <c r="N11" s="966">
        <f t="shared" si="7"/>
        <v>311.14872553482019</v>
      </c>
    </row>
    <row r="12" spans="1:19">
      <c r="A12" s="936">
        <f t="shared" si="5"/>
        <v>2027</v>
      </c>
      <c r="B12" s="958">
        <v>2800</v>
      </c>
      <c r="C12" s="958">
        <v>4000</v>
      </c>
      <c r="D12" s="958">
        <v>300</v>
      </c>
      <c r="E12" s="958">
        <f t="shared" si="0"/>
        <v>4300</v>
      </c>
      <c r="F12" s="958">
        <f t="shared" si="1"/>
        <v>-1500</v>
      </c>
      <c r="G12" s="970">
        <f t="shared" si="2"/>
        <v>3.5000000000000003E-2</v>
      </c>
      <c r="H12" s="970">
        <f t="shared" si="3"/>
        <v>0.04</v>
      </c>
      <c r="I12" s="969">
        <v>6.67</v>
      </c>
      <c r="J12" s="958">
        <f t="shared" si="6"/>
        <v>538461.53846153838</v>
      </c>
      <c r="K12" s="958">
        <v>1000</v>
      </c>
      <c r="L12" s="968">
        <f t="shared" si="4"/>
        <v>7.4285714285714297</v>
      </c>
      <c r="M12" s="967">
        <v>0.2069</v>
      </c>
      <c r="N12" s="966">
        <f t="shared" si="7"/>
        <v>1282.2062865445885</v>
      </c>
    </row>
    <row r="13" spans="1:19">
      <c r="A13" s="936">
        <f t="shared" si="5"/>
        <v>2028</v>
      </c>
      <c r="B13" s="958">
        <v>2200</v>
      </c>
      <c r="C13" s="958">
        <v>4500</v>
      </c>
      <c r="D13" s="958">
        <v>300</v>
      </c>
      <c r="E13" s="958">
        <f t="shared" si="0"/>
        <v>4800</v>
      </c>
      <c r="F13" s="958">
        <f t="shared" si="1"/>
        <v>-2600</v>
      </c>
      <c r="G13" s="970">
        <f t="shared" si="2"/>
        <v>3.5000000000000003E-2</v>
      </c>
      <c r="H13" s="970">
        <f t="shared" si="3"/>
        <v>0.04</v>
      </c>
      <c r="I13" s="969">
        <v>7.4</v>
      </c>
      <c r="J13" s="958">
        <f t="shared" si="6"/>
        <v>423076.92307692306</v>
      </c>
      <c r="K13" s="958">
        <v>1000</v>
      </c>
      <c r="L13" s="968">
        <f t="shared" si="4"/>
        <v>10.636363636363637</v>
      </c>
      <c r="M13" s="967">
        <v>0.21659999999999999</v>
      </c>
      <c r="N13" s="966">
        <f t="shared" si="7"/>
        <v>2137.0104775743139</v>
      </c>
    </row>
    <row r="14" spans="1:19">
      <c r="A14" s="936">
        <f t="shared" si="5"/>
        <v>2029</v>
      </c>
      <c r="B14" s="958">
        <v>1700</v>
      </c>
      <c r="C14" s="958">
        <v>5250</v>
      </c>
      <c r="D14" s="958">
        <v>250</v>
      </c>
      <c r="E14" s="958">
        <f t="shared" si="0"/>
        <v>5500</v>
      </c>
      <c r="F14" s="958">
        <f t="shared" si="1"/>
        <v>-3800</v>
      </c>
      <c r="G14" s="970">
        <f t="shared" si="2"/>
        <v>3.5000000000000003E-2</v>
      </c>
      <c r="H14" s="970">
        <f t="shared" si="3"/>
        <v>0.04</v>
      </c>
      <c r="I14" s="969">
        <v>8.2200000000000006</v>
      </c>
      <c r="J14" s="958">
        <f t="shared" si="6"/>
        <v>326923.07692307694</v>
      </c>
      <c r="K14" s="958">
        <v>1000</v>
      </c>
      <c r="L14" s="968">
        <f t="shared" si="4"/>
        <v>16.058823529411764</v>
      </c>
      <c r="M14" s="967">
        <v>0.21920000000000001</v>
      </c>
      <c r="N14" s="966">
        <f t="shared" si="7"/>
        <v>3003.1951977745539</v>
      </c>
    </row>
    <row r="15" spans="1:19">
      <c r="A15" s="936">
        <f t="shared" si="5"/>
        <v>2030</v>
      </c>
      <c r="B15" s="958">
        <v>1300</v>
      </c>
      <c r="C15" s="958">
        <v>6000</v>
      </c>
      <c r="D15" s="958">
        <v>200</v>
      </c>
      <c r="E15" s="958">
        <f t="shared" si="0"/>
        <v>6200</v>
      </c>
      <c r="F15" s="958">
        <f t="shared" si="1"/>
        <v>-4900</v>
      </c>
      <c r="G15" s="970">
        <f t="shared" si="2"/>
        <v>3.5000000000000003E-2</v>
      </c>
      <c r="H15" s="970">
        <f t="shared" si="3"/>
        <v>0.04</v>
      </c>
      <c r="I15" s="969">
        <v>9.14</v>
      </c>
      <c r="J15" s="958">
        <f t="shared" si="6"/>
        <v>250000</v>
      </c>
      <c r="K15" s="958">
        <v>1000</v>
      </c>
      <c r="L15" s="968">
        <f t="shared" si="4"/>
        <v>24</v>
      </c>
      <c r="M15" s="967">
        <v>0.20680000000000001</v>
      </c>
      <c r="N15" s="966">
        <f t="shared" si="7"/>
        <v>3723.59728469011</v>
      </c>
    </row>
    <row r="16" spans="1:19">
      <c r="A16" s="936">
        <f t="shared" si="5"/>
        <v>2031</v>
      </c>
      <c r="B16" s="958">
        <v>1000</v>
      </c>
      <c r="C16" s="958">
        <v>6500</v>
      </c>
      <c r="D16" s="958">
        <v>150</v>
      </c>
      <c r="E16" s="958">
        <f t="shared" si="0"/>
        <v>6650</v>
      </c>
      <c r="F16" s="958">
        <f t="shared" si="1"/>
        <v>-5650</v>
      </c>
      <c r="G16" s="970">
        <f t="shared" si="2"/>
        <v>3.5000000000000003E-2</v>
      </c>
      <c r="H16" s="970">
        <f t="shared" si="3"/>
        <v>0.04</v>
      </c>
      <c r="I16" s="969">
        <v>10.130000000000001</v>
      </c>
      <c r="J16" s="958">
        <f t="shared" si="6"/>
        <v>192307.69230769231</v>
      </c>
      <c r="K16" s="958">
        <v>1000</v>
      </c>
      <c r="L16" s="968">
        <f t="shared" si="4"/>
        <v>33.799999999999997</v>
      </c>
      <c r="M16" s="967">
        <v>0.96619999999999995</v>
      </c>
      <c r="N16" s="966">
        <f t="shared" si="7"/>
        <v>4128.3996582612081</v>
      </c>
      <c r="P16" s="966"/>
      <c r="Q16" s="966"/>
      <c r="R16" s="966"/>
      <c r="S16" s="966"/>
    </row>
    <row r="17" spans="1:29">
      <c r="A17" s="936" t="s">
        <v>1403</v>
      </c>
      <c r="J17" s="966"/>
      <c r="K17" s="966"/>
      <c r="L17" s="966"/>
      <c r="M17" s="965" t="s">
        <v>378</v>
      </c>
      <c r="N17" s="964">
        <f>SUM(N7:N16)</f>
        <v>11438.44224576421</v>
      </c>
    </row>
    <row r="18" spans="1:29">
      <c r="A18" s="963" t="s">
        <v>1601</v>
      </c>
      <c r="B18" s="963"/>
      <c r="C18" s="963"/>
      <c r="D18" s="963"/>
      <c r="E18" s="963"/>
      <c r="F18" s="963"/>
    </row>
    <row r="19" spans="1:29">
      <c r="C19" s="957"/>
      <c r="D19" s="957"/>
      <c r="E19" s="962" t="s">
        <v>1219</v>
      </c>
      <c r="Y19" s="961" t="s">
        <v>1569</v>
      </c>
    </row>
    <row r="20" spans="1:29">
      <c r="A20" s="961" t="s">
        <v>1568</v>
      </c>
      <c r="B20" s="961" t="s">
        <v>1255</v>
      </c>
      <c r="C20" s="957"/>
      <c r="D20" s="962" t="s">
        <v>1059</v>
      </c>
      <c r="E20" s="962" t="s">
        <v>1059</v>
      </c>
      <c r="Q20" s="936" t="s">
        <v>1566</v>
      </c>
      <c r="R20" s="957"/>
      <c r="S20" s="961" t="s">
        <v>1567</v>
      </c>
      <c r="T20" s="936" t="s">
        <v>1566</v>
      </c>
      <c r="U20" s="962" t="s">
        <v>1558</v>
      </c>
      <c r="X20" s="961" t="s">
        <v>378</v>
      </c>
      <c r="Y20" s="961" t="s">
        <v>1565</v>
      </c>
      <c r="Z20" s="962" t="s">
        <v>1564</v>
      </c>
      <c r="AA20" s="962" t="s">
        <v>548</v>
      </c>
      <c r="AB20" s="962" t="s">
        <v>1556</v>
      </c>
      <c r="AC20" s="961" t="s">
        <v>378</v>
      </c>
    </row>
    <row r="21" spans="1:29">
      <c r="A21" s="961" t="s">
        <v>1563</v>
      </c>
      <c r="B21" s="961" t="s">
        <v>165</v>
      </c>
      <c r="C21" s="962" t="s">
        <v>166</v>
      </c>
      <c r="D21" s="962" t="s">
        <v>1193</v>
      </c>
      <c r="E21" s="962" t="s">
        <v>1012</v>
      </c>
      <c r="F21" s="961" t="s">
        <v>1059</v>
      </c>
      <c r="G21" s="961" t="s">
        <v>1059</v>
      </c>
      <c r="H21" s="961" t="s">
        <v>1208</v>
      </c>
      <c r="I21" s="961" t="s">
        <v>1562</v>
      </c>
      <c r="L21" s="961" t="s">
        <v>1208</v>
      </c>
      <c r="M21" s="961" t="s">
        <v>1208</v>
      </c>
      <c r="N21" s="961" t="s">
        <v>1209</v>
      </c>
      <c r="O21" s="961" t="s">
        <v>1562</v>
      </c>
      <c r="Q21" s="961" t="s">
        <v>1548</v>
      </c>
      <c r="R21" s="962" t="s">
        <v>1561</v>
      </c>
      <c r="S21" s="961" t="s">
        <v>1561</v>
      </c>
      <c r="T21" s="961" t="s">
        <v>1558</v>
      </c>
      <c r="U21" s="962" t="s">
        <v>1560</v>
      </c>
      <c r="V21" s="961" t="s">
        <v>1559</v>
      </c>
      <c r="X21" s="961" t="s">
        <v>1558</v>
      </c>
      <c r="Y21" s="961" t="s">
        <v>199</v>
      </c>
      <c r="Z21" s="962" t="s">
        <v>726</v>
      </c>
      <c r="AA21" s="962" t="s">
        <v>1557</v>
      </c>
      <c r="AB21" s="962" t="s">
        <v>726</v>
      </c>
      <c r="AC21" s="961" t="s">
        <v>1556</v>
      </c>
    </row>
    <row r="22" spans="1:29">
      <c r="A22" s="961" t="s">
        <v>374</v>
      </c>
      <c r="B22" s="961" t="s">
        <v>1543</v>
      </c>
      <c r="C22" s="962" t="s">
        <v>1543</v>
      </c>
      <c r="D22" s="962" t="s">
        <v>1195</v>
      </c>
      <c r="E22" s="962" t="s">
        <v>1195</v>
      </c>
      <c r="F22" s="961" t="s">
        <v>1555</v>
      </c>
      <c r="G22" s="961" t="s">
        <v>1545</v>
      </c>
      <c r="H22" s="961" t="s">
        <v>1549</v>
      </c>
      <c r="I22" s="961" t="s">
        <v>1549</v>
      </c>
      <c r="J22" s="961" t="s">
        <v>1554</v>
      </c>
      <c r="K22" s="961" t="s">
        <v>1553</v>
      </c>
      <c r="L22" s="961" t="s">
        <v>1552</v>
      </c>
      <c r="M22" s="961" t="s">
        <v>1551</v>
      </c>
      <c r="N22" s="961" t="s">
        <v>1550</v>
      </c>
      <c r="O22" s="961" t="s">
        <v>1549</v>
      </c>
      <c r="P22" s="961" t="s">
        <v>1548</v>
      </c>
      <c r="Q22" s="961" t="s">
        <v>1547</v>
      </c>
      <c r="R22" s="962" t="s">
        <v>1546</v>
      </c>
      <c r="S22" s="961" t="s">
        <v>1546</v>
      </c>
      <c r="T22" s="961" t="s">
        <v>726</v>
      </c>
      <c r="U22" s="962" t="s">
        <v>199</v>
      </c>
      <c r="V22" s="961" t="s">
        <v>1545</v>
      </c>
      <c r="W22" s="961" t="s">
        <v>1544</v>
      </c>
      <c r="X22" s="961" t="s">
        <v>726</v>
      </c>
      <c r="Y22" s="961" t="s">
        <v>1543</v>
      </c>
      <c r="Z22" s="962" t="s">
        <v>1542</v>
      </c>
      <c r="AA22" s="962" t="s">
        <v>1542</v>
      </c>
      <c r="AB22" s="962" t="s">
        <v>1542</v>
      </c>
      <c r="AC22" s="961" t="s">
        <v>726</v>
      </c>
    </row>
    <row r="23" spans="1:29" ht="14.4">
      <c r="A23" s="936">
        <v>1</v>
      </c>
      <c r="B23" s="958">
        <v>1000</v>
      </c>
      <c r="C23" s="957">
        <f t="shared" ref="C23:C32" si="8">B7/J7*1000</f>
        <v>5.2</v>
      </c>
      <c r="D23" s="956">
        <f t="shared" ref="D23:D32" si="9">G7</f>
        <v>3.5000000000000003E-2</v>
      </c>
      <c r="E23" s="955">
        <v>4.22</v>
      </c>
      <c r="F23" s="954">
        <f>1</f>
        <v>1</v>
      </c>
      <c r="G23" s="954">
        <f>B23/1000</f>
        <v>1</v>
      </c>
      <c r="H23" s="954">
        <f t="shared" ref="H23:H32" si="10">F23*G23</f>
        <v>1</v>
      </c>
      <c r="I23" s="954">
        <f>SUM(H23:H$32)/(F23*G23)</f>
        <v>8.4130817671452043</v>
      </c>
      <c r="J23" s="954">
        <f t="shared" ref="J23:J32" si="11">B23*(G23-G24)</f>
        <v>4.2200000000000015</v>
      </c>
      <c r="K23" s="954">
        <f t="shared" ref="K23:K32" si="12">G23*C23</f>
        <v>5.2</v>
      </c>
      <c r="L23" s="954">
        <f t="shared" ref="L23:L32" si="13">J23*F23</f>
        <v>4.2200000000000015</v>
      </c>
      <c r="M23" s="954">
        <f t="shared" ref="M23:M32" si="14">C23*F23*G23</f>
        <v>5.2</v>
      </c>
      <c r="N23" s="954">
        <f>SUM(L23:L$32)/(F23*G23)</f>
        <v>54.444773717659139</v>
      </c>
      <c r="O23" s="954">
        <f t="shared" ref="O23:O32" si="15">I23</f>
        <v>8.4130817671452043</v>
      </c>
      <c r="P23" s="960">
        <f>N23/O23</f>
        <v>6.4714423590029826</v>
      </c>
      <c r="Q23" s="954">
        <f t="shared" ref="Q23:Q32" si="16">N23-O23*P23*C23/C$23</f>
        <v>0</v>
      </c>
      <c r="R23" s="959">
        <f>(N24/O24)-F23*J23</f>
        <v>2.5551544223153506</v>
      </c>
      <c r="S23" s="954">
        <f t="shared" ref="S23:S32" si="17">R$23*O23/O$23</f>
        <v>2.5551544223153506</v>
      </c>
      <c r="T23" s="954">
        <f>L23-U23</f>
        <v>0</v>
      </c>
      <c r="U23" s="959">
        <f>F23*J23</f>
        <v>4.2200000000000015</v>
      </c>
      <c r="V23" s="954">
        <f t="shared" ref="V23:V32" si="18">B7/B$7</f>
        <v>1</v>
      </c>
      <c r="W23" s="950">
        <f>1000000</f>
        <v>1000000</v>
      </c>
      <c r="X23" s="953">
        <f t="shared" ref="X23:X32" si="19">W23*T23/B23</f>
        <v>0</v>
      </c>
      <c r="Y23" s="952">
        <f>B7/(W23/B23)</f>
        <v>5.2</v>
      </c>
      <c r="Z23" s="951">
        <f t="shared" ref="Z23:Z32" si="20">T23</f>
        <v>0</v>
      </c>
      <c r="AA23" s="959">
        <f>L23-MIN(M23,U23)</f>
        <v>0</v>
      </c>
      <c r="AB23" s="959">
        <f t="shared" ref="AB23:AB32" si="21">IF(U23&gt;Y23,AA23-Z23,0)</f>
        <v>0</v>
      </c>
      <c r="AC23" s="954">
        <f t="shared" ref="AC23:AC32" si="22">W23/B23*AB23</f>
        <v>0</v>
      </c>
    </row>
    <row r="24" spans="1:29" ht="14.4">
      <c r="A24" s="936">
        <f t="shared" ref="A24:A32" si="23">A23+1</f>
        <v>2</v>
      </c>
      <c r="B24" s="958">
        <v>1000</v>
      </c>
      <c r="C24" s="957">
        <f t="shared" si="8"/>
        <v>5.2</v>
      </c>
      <c r="D24" s="956">
        <f t="shared" si="9"/>
        <v>3.5000000000000003E-2</v>
      </c>
      <c r="E24" s="955">
        <v>4.58</v>
      </c>
      <c r="F24" s="954">
        <f t="shared" ref="F24:F32" si="24">F23/(1+D23)</f>
        <v>0.96618357487922713</v>
      </c>
      <c r="G24" s="954">
        <f t="shared" ref="G24:G33" si="25">G23*(1-E23/1000)</f>
        <v>0.99578</v>
      </c>
      <c r="H24" s="954">
        <f t="shared" si="10"/>
        <v>0.96210628019323674</v>
      </c>
      <c r="I24" s="954">
        <f>SUM(H24:H$32)/(F24*G24)</f>
        <v>7.7050549609304122</v>
      </c>
      <c r="J24" s="954">
        <f t="shared" si="11"/>
        <v>4.5606724000000209</v>
      </c>
      <c r="K24" s="954">
        <f t="shared" si="12"/>
        <v>5.1780559999999998</v>
      </c>
      <c r="L24" s="954">
        <f t="shared" si="13"/>
        <v>4.4064467632850448</v>
      </c>
      <c r="M24" s="954">
        <f t="shared" si="14"/>
        <v>5.0029526570048306</v>
      </c>
      <c r="N24" s="954">
        <f>SUM(L24:L$32)/(F24*G24)</f>
        <v>52.202937192730523</v>
      </c>
      <c r="O24" s="954">
        <f t="shared" si="15"/>
        <v>7.7050549609304122</v>
      </c>
      <c r="P24" s="954">
        <f t="shared" ref="P24:P32" si="26">P23</f>
        <v>6.4714423590029826</v>
      </c>
      <c r="Q24" s="954">
        <f t="shared" si="16"/>
        <v>2.3401181401193867</v>
      </c>
      <c r="R24" s="954"/>
      <c r="S24" s="954">
        <f t="shared" si="17"/>
        <v>2.3401181401193885</v>
      </c>
      <c r="T24" s="954">
        <f t="shared" ref="T24:T32" si="27">Q24-S24</f>
        <v>0</v>
      </c>
      <c r="U24" s="959">
        <f>P23+R23/O23</f>
        <v>6.775154422315353</v>
      </c>
      <c r="V24" s="954">
        <f t="shared" si="18"/>
        <v>0.96153846153846156</v>
      </c>
      <c r="W24" s="950">
        <f t="shared" ref="W24:W32" si="28">W$23*V24</f>
        <v>961538.46153846162</v>
      </c>
      <c r="X24" s="953">
        <f t="shared" si="19"/>
        <v>0</v>
      </c>
      <c r="Y24" s="952">
        <f t="shared" ref="Y24:Y32" si="29">Y23</f>
        <v>5.2</v>
      </c>
      <c r="Z24" s="951">
        <f t="shared" si="20"/>
        <v>0</v>
      </c>
      <c r="AA24" s="951">
        <f t="shared" ref="AA24:AA32" si="30">N24-MIN(U24,Y24)*O24</f>
        <v>12.136651395892379</v>
      </c>
      <c r="AB24" s="951">
        <f t="shared" si="21"/>
        <v>12.136651395892379</v>
      </c>
      <c r="AC24" s="950">
        <f t="shared" si="22"/>
        <v>11669.857111434982</v>
      </c>
    </row>
    <row r="25" spans="1:29" ht="14.4">
      <c r="A25" s="936">
        <f t="shared" si="23"/>
        <v>3</v>
      </c>
      <c r="B25" s="958">
        <v>1000</v>
      </c>
      <c r="C25" s="957">
        <f t="shared" si="8"/>
        <v>5.2</v>
      </c>
      <c r="D25" s="956">
        <f t="shared" si="9"/>
        <v>3.5000000000000003E-2</v>
      </c>
      <c r="E25" s="955">
        <v>5</v>
      </c>
      <c r="F25" s="954">
        <f t="shared" si="24"/>
        <v>0.93351070036640305</v>
      </c>
      <c r="G25" s="954">
        <f t="shared" si="25"/>
        <v>0.99121932759999998</v>
      </c>
      <c r="H25" s="954">
        <f t="shared" si="10"/>
        <v>0.9253138487245911</v>
      </c>
      <c r="I25" s="954">
        <f>SUM(H25:H$32)/(F25*G25)</f>
        <v>6.9716620969670853</v>
      </c>
      <c r="J25" s="954">
        <f t="shared" si="11"/>
        <v>4.9560966380000071</v>
      </c>
      <c r="K25" s="954">
        <f t="shared" si="12"/>
        <v>5.1543405035200003</v>
      </c>
      <c r="L25" s="954">
        <f t="shared" si="13"/>
        <v>4.6265692436229617</v>
      </c>
      <c r="M25" s="954">
        <f t="shared" si="14"/>
        <v>4.8116320133678743</v>
      </c>
      <c r="N25" s="954">
        <f>SUM(L25:L$32)/(F25*G25)</f>
        <v>49.516525682100088</v>
      </c>
      <c r="O25" s="954">
        <f t="shared" si="15"/>
        <v>6.9716620969670853</v>
      </c>
      <c r="P25" s="954">
        <f t="shared" si="26"/>
        <v>6.4714423590029826</v>
      </c>
      <c r="Q25" s="954">
        <f t="shared" si="16"/>
        <v>4.3998162751317338</v>
      </c>
      <c r="R25" s="954"/>
      <c r="S25" s="954">
        <f t="shared" si="17"/>
        <v>2.1173778801865182</v>
      </c>
      <c r="T25" s="954">
        <f t="shared" si="27"/>
        <v>2.2824383949452156</v>
      </c>
      <c r="U25" s="954">
        <f t="shared" ref="U25:U32" si="31">U24</f>
        <v>6.775154422315353</v>
      </c>
      <c r="V25" s="954">
        <f t="shared" si="18"/>
        <v>0.90384615384615385</v>
      </c>
      <c r="W25" s="950">
        <f t="shared" si="28"/>
        <v>903846.15384615387</v>
      </c>
      <c r="X25" s="953">
        <f t="shared" si="19"/>
        <v>2062.9731646620221</v>
      </c>
      <c r="Y25" s="952">
        <f t="shared" si="29"/>
        <v>5.2</v>
      </c>
      <c r="Z25" s="951">
        <f t="shared" si="20"/>
        <v>2.2824383949452156</v>
      </c>
      <c r="AA25" s="951">
        <f t="shared" si="30"/>
        <v>13.263882777871245</v>
      </c>
      <c r="AB25" s="951">
        <f t="shared" si="21"/>
        <v>10.98144438292603</v>
      </c>
      <c r="AC25" s="950">
        <f t="shared" si="22"/>
        <v>9925.5362691831433</v>
      </c>
    </row>
    <row r="26" spans="1:29" ht="14.4">
      <c r="A26" s="936">
        <f t="shared" si="23"/>
        <v>4</v>
      </c>
      <c r="B26" s="958">
        <v>1000</v>
      </c>
      <c r="C26" s="957">
        <f t="shared" si="8"/>
        <v>5.2</v>
      </c>
      <c r="D26" s="956">
        <f t="shared" si="9"/>
        <v>3.5000000000000003E-2</v>
      </c>
      <c r="E26" s="955">
        <v>5.48</v>
      </c>
      <c r="F26" s="954">
        <f t="shared" si="24"/>
        <v>0.90194270566802237</v>
      </c>
      <c r="G26" s="954">
        <f t="shared" si="25"/>
        <v>0.98626323096199997</v>
      </c>
      <c r="H26" s="954">
        <f t="shared" si="10"/>
        <v>0.88955292703475186</v>
      </c>
      <c r="I26" s="954">
        <f>SUM(H26:H$32)/(F26*G26)</f>
        <v>6.2117289149356116</v>
      </c>
      <c r="J26" s="954">
        <f t="shared" si="11"/>
        <v>5.4047225056718107</v>
      </c>
      <c r="K26" s="954">
        <f t="shared" si="12"/>
        <v>5.1285688010024</v>
      </c>
      <c r="L26" s="954">
        <f t="shared" si="13"/>
        <v>4.8747500401504862</v>
      </c>
      <c r="M26" s="954">
        <f t="shared" si="14"/>
        <v>4.6256752205807095</v>
      </c>
      <c r="N26" s="954">
        <f>SUM(L26:L$32)/(F26*G26)</f>
        <v>46.306134754747319</v>
      </c>
      <c r="O26" s="954">
        <f t="shared" si="15"/>
        <v>6.2117289149356116</v>
      </c>
      <c r="P26" s="954">
        <f t="shared" si="26"/>
        <v>6.4714423590029826</v>
      </c>
      <c r="Q26" s="954">
        <f t="shared" si="16"/>
        <v>6.1072891319893685</v>
      </c>
      <c r="R26" s="954"/>
      <c r="S26" s="954">
        <f t="shared" si="17"/>
        <v>1.8865770054922044</v>
      </c>
      <c r="T26" s="954">
        <f t="shared" si="27"/>
        <v>4.2207121264971637</v>
      </c>
      <c r="U26" s="954">
        <f t="shared" si="31"/>
        <v>6.775154422315353</v>
      </c>
      <c r="V26" s="954">
        <f t="shared" si="18"/>
        <v>0.80769230769230771</v>
      </c>
      <c r="W26" s="950">
        <f t="shared" si="28"/>
        <v>807692.30769230775</v>
      </c>
      <c r="X26" s="953">
        <f t="shared" si="19"/>
        <v>3409.036717555402</v>
      </c>
      <c r="Y26" s="952">
        <f t="shared" si="29"/>
        <v>5.2</v>
      </c>
      <c r="Z26" s="951">
        <f t="shared" si="20"/>
        <v>4.2207121264971637</v>
      </c>
      <c r="AA26" s="951">
        <f t="shared" si="30"/>
        <v>14.005144397082134</v>
      </c>
      <c r="AB26" s="951">
        <f t="shared" si="21"/>
        <v>9.7844322705849702</v>
      </c>
      <c r="AC26" s="950">
        <f t="shared" si="22"/>
        <v>7902.8106800878613</v>
      </c>
    </row>
    <row r="27" spans="1:29" ht="14.4">
      <c r="A27" s="936">
        <f t="shared" si="23"/>
        <v>5</v>
      </c>
      <c r="B27" s="958">
        <v>1000</v>
      </c>
      <c r="C27" s="957">
        <f t="shared" si="8"/>
        <v>5.2</v>
      </c>
      <c r="D27" s="956">
        <f t="shared" si="9"/>
        <v>3.5000000000000003E-2</v>
      </c>
      <c r="E27" s="955">
        <v>6.04</v>
      </c>
      <c r="F27" s="954">
        <f t="shared" si="24"/>
        <v>0.87144222769857238</v>
      </c>
      <c r="G27" s="954">
        <f t="shared" si="25"/>
        <v>0.98085850845632816</v>
      </c>
      <c r="H27" s="954">
        <f t="shared" si="10"/>
        <v>0.85476152366628155</v>
      </c>
      <c r="I27" s="954">
        <f>SUM(H27:H$32)/(F27*G27)</f>
        <v>5.4238621917692527</v>
      </c>
      <c r="J27" s="954">
        <f t="shared" si="11"/>
        <v>5.9243853910763145</v>
      </c>
      <c r="K27" s="954">
        <f t="shared" si="12"/>
        <v>5.1004642439729064</v>
      </c>
      <c r="L27" s="954">
        <f t="shared" si="13"/>
        <v>5.1627596029444218</v>
      </c>
      <c r="M27" s="954">
        <f t="shared" si="14"/>
        <v>4.4447599230646642</v>
      </c>
      <c r="N27" s="954">
        <f>SUM(L27:L$32)/(F27*G27)</f>
        <v>42.487883070389152</v>
      </c>
      <c r="O27" s="954">
        <f t="shared" si="15"/>
        <v>5.4238621917692527</v>
      </c>
      <c r="P27" s="954">
        <f t="shared" si="26"/>
        <v>6.4714423590029826</v>
      </c>
      <c r="Q27" s="954">
        <f t="shared" si="16"/>
        <v>7.3876715331788532</v>
      </c>
      <c r="R27" s="954"/>
      <c r="S27" s="954">
        <f t="shared" si="17"/>
        <v>1.6472923773841937</v>
      </c>
      <c r="T27" s="954">
        <f t="shared" si="27"/>
        <v>5.7403791557946597</v>
      </c>
      <c r="U27" s="954">
        <f t="shared" si="31"/>
        <v>6.775154422315353</v>
      </c>
      <c r="V27" s="954">
        <f t="shared" si="18"/>
        <v>0.67307692307692313</v>
      </c>
      <c r="W27" s="950">
        <f t="shared" si="28"/>
        <v>673076.92307692312</v>
      </c>
      <c r="X27" s="953">
        <f t="shared" si="19"/>
        <v>3863.7167394771755</v>
      </c>
      <c r="Y27" s="952">
        <f t="shared" si="29"/>
        <v>5.2</v>
      </c>
      <c r="Z27" s="951">
        <f t="shared" si="20"/>
        <v>5.7403791557946597</v>
      </c>
      <c r="AA27" s="951">
        <f t="shared" si="30"/>
        <v>14.283799673189037</v>
      </c>
      <c r="AB27" s="951">
        <f t="shared" si="21"/>
        <v>8.5434205173943774</v>
      </c>
      <c r="AC27" s="950">
        <f t="shared" si="22"/>
        <v>5750.3791944000623</v>
      </c>
    </row>
    <row r="28" spans="1:29" ht="14.4">
      <c r="A28" s="936">
        <f t="shared" si="23"/>
        <v>6</v>
      </c>
      <c r="B28" s="958">
        <v>1000</v>
      </c>
      <c r="C28" s="957">
        <f t="shared" si="8"/>
        <v>5.2000000000000011</v>
      </c>
      <c r="D28" s="956">
        <f t="shared" si="9"/>
        <v>3.5000000000000003E-2</v>
      </c>
      <c r="E28" s="955">
        <v>6.67</v>
      </c>
      <c r="F28" s="954">
        <f t="shared" si="24"/>
        <v>0.84197316685852408</v>
      </c>
      <c r="G28" s="954">
        <f t="shared" si="25"/>
        <v>0.97493412306525185</v>
      </c>
      <c r="H28" s="954">
        <f t="shared" si="10"/>
        <v>0.82086837107568811</v>
      </c>
      <c r="I28" s="954">
        <f>SUM(H28:H$32)/(F28*G28)</f>
        <v>4.606520753834336</v>
      </c>
      <c r="J28" s="954">
        <f t="shared" si="11"/>
        <v>6.5028106008452324</v>
      </c>
      <c r="K28" s="954">
        <f t="shared" si="12"/>
        <v>5.0696574399393111</v>
      </c>
      <c r="L28" s="954">
        <f t="shared" si="13"/>
        <v>5.4751920350748424</v>
      </c>
      <c r="M28" s="954">
        <f t="shared" si="14"/>
        <v>4.2685155295935795</v>
      </c>
      <c r="N28" s="954">
        <f>SUM(L28:L$32)/(F28*G28)</f>
        <v>37.952793852723111</v>
      </c>
      <c r="O28" s="954">
        <f t="shared" si="15"/>
        <v>4.606520753834336</v>
      </c>
      <c r="P28" s="954">
        <f t="shared" si="26"/>
        <v>6.4714423590029826</v>
      </c>
      <c r="Q28" s="954">
        <f t="shared" si="16"/>
        <v>8.1419603187332363</v>
      </c>
      <c r="R28" s="954"/>
      <c r="S28" s="954">
        <f t="shared" si="17"/>
        <v>1.3990559228382806</v>
      </c>
      <c r="T28" s="954">
        <f t="shared" si="27"/>
        <v>6.7429043958949553</v>
      </c>
      <c r="U28" s="954">
        <f t="shared" si="31"/>
        <v>6.775154422315353</v>
      </c>
      <c r="V28" s="954">
        <f t="shared" si="18"/>
        <v>0.53846153846153844</v>
      </c>
      <c r="W28" s="950">
        <f t="shared" si="28"/>
        <v>538461.53846153838</v>
      </c>
      <c r="X28" s="953">
        <f t="shared" si="19"/>
        <v>3630.7946747126675</v>
      </c>
      <c r="Y28" s="952">
        <f t="shared" si="29"/>
        <v>5.2</v>
      </c>
      <c r="Z28" s="951">
        <f t="shared" si="20"/>
        <v>6.7429043958949553</v>
      </c>
      <c r="AA28" s="951">
        <f t="shared" si="30"/>
        <v>13.998885932784564</v>
      </c>
      <c r="AB28" s="951">
        <f t="shared" si="21"/>
        <v>7.2559815368896086</v>
      </c>
      <c r="AC28" s="950">
        <f t="shared" si="22"/>
        <v>3907.0669814020962</v>
      </c>
    </row>
    <row r="29" spans="1:29" ht="14.4">
      <c r="A29" s="936">
        <f t="shared" si="23"/>
        <v>7</v>
      </c>
      <c r="B29" s="958">
        <v>1000</v>
      </c>
      <c r="C29" s="957">
        <f t="shared" si="8"/>
        <v>5.2</v>
      </c>
      <c r="D29" s="956">
        <f t="shared" si="9"/>
        <v>3.5000000000000003E-2</v>
      </c>
      <c r="E29" s="955">
        <v>7.4</v>
      </c>
      <c r="F29" s="954">
        <f t="shared" si="24"/>
        <v>0.81350064430775282</v>
      </c>
      <c r="G29" s="954">
        <f t="shared" si="25"/>
        <v>0.96843131246440661</v>
      </c>
      <c r="H29" s="954">
        <f t="shared" si="10"/>
        <v>0.78781949665759743</v>
      </c>
      <c r="I29" s="954">
        <f>SUM(H29:H$32)/(F29*G29)</f>
        <v>3.7578135969099269</v>
      </c>
      <c r="J29" s="954">
        <f t="shared" si="11"/>
        <v>7.1663917122365417</v>
      </c>
      <c r="K29" s="954">
        <f t="shared" si="12"/>
        <v>5.0358428248149147</v>
      </c>
      <c r="L29" s="954">
        <f t="shared" si="13"/>
        <v>5.8298642752661669</v>
      </c>
      <c r="M29" s="954">
        <f t="shared" si="14"/>
        <v>4.0966613826195069</v>
      </c>
      <c r="N29" s="954">
        <f>SUM(L29:L$32)/(F29*G29)</f>
        <v>32.595100960978144</v>
      </c>
      <c r="O29" s="954">
        <f t="shared" si="15"/>
        <v>3.7578135969099269</v>
      </c>
      <c r="P29" s="954">
        <f t="shared" si="26"/>
        <v>6.4714423590029826</v>
      </c>
      <c r="Q29" s="954">
        <f t="shared" si="16"/>
        <v>8.2766268726978822</v>
      </c>
      <c r="R29" s="954"/>
      <c r="S29" s="954">
        <f t="shared" si="17"/>
        <v>1.1412933210607927</v>
      </c>
      <c r="T29" s="954">
        <f t="shared" si="27"/>
        <v>7.135333551637089</v>
      </c>
      <c r="U29" s="954">
        <f t="shared" si="31"/>
        <v>6.775154422315353</v>
      </c>
      <c r="V29" s="954">
        <f t="shared" si="18"/>
        <v>0.42307692307692307</v>
      </c>
      <c r="W29" s="950">
        <f t="shared" si="28"/>
        <v>423076.92307692306</v>
      </c>
      <c r="X29" s="953">
        <f t="shared" si="19"/>
        <v>3018.7949641541531</v>
      </c>
      <c r="Y29" s="952">
        <f t="shared" si="29"/>
        <v>5.2</v>
      </c>
      <c r="Z29" s="951">
        <f t="shared" si="20"/>
        <v>7.135333551637089</v>
      </c>
      <c r="AA29" s="951">
        <f t="shared" si="30"/>
        <v>13.054470257046525</v>
      </c>
      <c r="AB29" s="951">
        <f t="shared" si="21"/>
        <v>5.9191367054094357</v>
      </c>
      <c r="AC29" s="950">
        <f t="shared" si="22"/>
        <v>2504.2501445962994</v>
      </c>
    </row>
    <row r="30" spans="1:29" ht="14.4">
      <c r="A30" s="936">
        <f t="shared" si="23"/>
        <v>8</v>
      </c>
      <c r="B30" s="958">
        <v>1000</v>
      </c>
      <c r="C30" s="957">
        <f t="shared" si="8"/>
        <v>5.2</v>
      </c>
      <c r="D30" s="956">
        <f t="shared" si="9"/>
        <v>3.5000000000000003E-2</v>
      </c>
      <c r="E30" s="955">
        <v>8.2200000000000006</v>
      </c>
      <c r="F30" s="954">
        <f t="shared" si="24"/>
        <v>0.78599096068381924</v>
      </c>
      <c r="G30" s="954">
        <f t="shared" si="25"/>
        <v>0.96126492075217007</v>
      </c>
      <c r="H30" s="954">
        <f t="shared" si="10"/>
        <v>0.75554553853365347</v>
      </c>
      <c r="I30" s="954">
        <f>SUM(H30:H$32)/(F30*G30)</f>
        <v>2.8756166359074893</v>
      </c>
      <c r="J30" s="954">
        <f t="shared" si="11"/>
        <v>7.901597648582892</v>
      </c>
      <c r="K30" s="954">
        <f t="shared" si="12"/>
        <v>4.9985775879112841</v>
      </c>
      <c r="L30" s="954">
        <f t="shared" si="13"/>
        <v>6.210584326746674</v>
      </c>
      <c r="M30" s="954">
        <f t="shared" si="14"/>
        <v>3.9288368003749987</v>
      </c>
      <c r="N30" s="954">
        <f>SUM(L30:L$32)/(F30*G30)</f>
        <v>26.271337391308123</v>
      </c>
      <c r="O30" s="954">
        <f t="shared" si="15"/>
        <v>2.8756166359074893</v>
      </c>
      <c r="P30" s="954">
        <f t="shared" si="26"/>
        <v>6.4714423590029826</v>
      </c>
      <c r="Q30" s="954">
        <f t="shared" si="16"/>
        <v>7.66195008544274</v>
      </c>
      <c r="R30" s="954"/>
      <c r="S30" s="954">
        <f t="shared" si="17"/>
        <v>0.87335946178683999</v>
      </c>
      <c r="T30" s="954">
        <f t="shared" si="27"/>
        <v>6.7885906236559004</v>
      </c>
      <c r="U30" s="954">
        <f t="shared" si="31"/>
        <v>6.775154422315353</v>
      </c>
      <c r="V30" s="954">
        <f t="shared" si="18"/>
        <v>0.32692307692307693</v>
      </c>
      <c r="W30" s="950">
        <f t="shared" si="28"/>
        <v>326923.07692307694</v>
      </c>
      <c r="X30" s="953">
        <f t="shared" si="19"/>
        <v>2219.3469346567367</v>
      </c>
      <c r="Y30" s="952">
        <f t="shared" si="29"/>
        <v>5.2</v>
      </c>
      <c r="Z30" s="951">
        <f t="shared" si="20"/>
        <v>6.7885906236559004</v>
      </c>
      <c r="AA30" s="951">
        <f t="shared" si="30"/>
        <v>11.318130884589179</v>
      </c>
      <c r="AB30" s="951">
        <f t="shared" si="21"/>
        <v>4.5295402609332784</v>
      </c>
      <c r="AC30" s="950">
        <f t="shared" si="22"/>
        <v>1480.8112391512643</v>
      </c>
    </row>
    <row r="31" spans="1:29" ht="14.4">
      <c r="A31" s="936">
        <f t="shared" si="23"/>
        <v>9</v>
      </c>
      <c r="B31" s="958">
        <v>1000</v>
      </c>
      <c r="C31" s="957">
        <f t="shared" si="8"/>
        <v>5.2</v>
      </c>
      <c r="D31" s="956">
        <f t="shared" si="9"/>
        <v>3.5000000000000003E-2</v>
      </c>
      <c r="E31" s="955">
        <v>9.14</v>
      </c>
      <c r="F31" s="954">
        <f t="shared" si="24"/>
        <v>0.75941155621625056</v>
      </c>
      <c r="G31" s="954">
        <f t="shared" si="25"/>
        <v>0.95336332310358718</v>
      </c>
      <c r="H31" s="954">
        <f t="shared" si="10"/>
        <v>0.72399512483759121</v>
      </c>
      <c r="I31" s="954">
        <f>SUM(H31:H$32)/(F31*G31)</f>
        <v>1.957352657004831</v>
      </c>
      <c r="J31" s="954">
        <f t="shared" si="11"/>
        <v>8.7137407731667782</v>
      </c>
      <c r="K31" s="954">
        <f t="shared" si="12"/>
        <v>4.9574892801386534</v>
      </c>
      <c r="L31" s="954">
        <f t="shared" si="13"/>
        <v>6.6173154410155774</v>
      </c>
      <c r="M31" s="954">
        <f t="shared" si="14"/>
        <v>3.7647746491554748</v>
      </c>
      <c r="N31" s="954">
        <f>SUM(L31:L$32)/(F31*G31)</f>
        <v>18.837982415458921</v>
      </c>
      <c r="O31" s="954">
        <f t="shared" si="15"/>
        <v>1.957352657004831</v>
      </c>
      <c r="P31" s="954">
        <f t="shared" si="26"/>
        <v>6.4714423590029826</v>
      </c>
      <c r="Q31" s="954">
        <f t="shared" si="16"/>
        <v>6.1710875194108219</v>
      </c>
      <c r="R31" s="954"/>
      <c r="S31" s="954">
        <f t="shared" si="17"/>
        <v>0.59447161408888705</v>
      </c>
      <c r="T31" s="954">
        <f t="shared" si="27"/>
        <v>5.5766159053219351</v>
      </c>
      <c r="U31" s="954">
        <f t="shared" si="31"/>
        <v>6.775154422315353</v>
      </c>
      <c r="V31" s="954">
        <f t="shared" si="18"/>
        <v>0.25</v>
      </c>
      <c r="W31" s="950">
        <f t="shared" si="28"/>
        <v>250000</v>
      </c>
      <c r="X31" s="953">
        <f t="shared" si="19"/>
        <v>1394.1539763304838</v>
      </c>
      <c r="Y31" s="952">
        <f t="shared" si="29"/>
        <v>5.2</v>
      </c>
      <c r="Z31" s="951">
        <f t="shared" si="20"/>
        <v>5.5766159053219351</v>
      </c>
      <c r="AA31" s="951">
        <f t="shared" si="30"/>
        <v>8.659748599033799</v>
      </c>
      <c r="AB31" s="951">
        <f t="shared" si="21"/>
        <v>3.0831326937118639</v>
      </c>
      <c r="AC31" s="950">
        <f t="shared" si="22"/>
        <v>770.78317342796595</v>
      </c>
    </row>
    <row r="32" spans="1:29" ht="14.4">
      <c r="A32" s="936">
        <f t="shared" si="23"/>
        <v>10</v>
      </c>
      <c r="B32" s="958">
        <v>1000</v>
      </c>
      <c r="C32" s="957">
        <f t="shared" si="8"/>
        <v>5.2</v>
      </c>
      <c r="D32" s="956">
        <f t="shared" si="9"/>
        <v>3.5000000000000003E-2</v>
      </c>
      <c r="E32" s="955">
        <v>10.130000000000001</v>
      </c>
      <c r="F32" s="954">
        <f t="shared" si="24"/>
        <v>0.73373097218961414</v>
      </c>
      <c r="G32" s="954">
        <f t="shared" si="25"/>
        <v>0.9446495823304204</v>
      </c>
      <c r="H32" s="954">
        <f t="shared" si="10"/>
        <v>0.69311865642181225</v>
      </c>
      <c r="I32" s="954">
        <f>SUM(H32:H$32)/(F32*G32)</f>
        <v>1</v>
      </c>
      <c r="J32" s="954">
        <f t="shared" si="11"/>
        <v>9.5693002690071527</v>
      </c>
      <c r="K32" s="954">
        <f t="shared" si="12"/>
        <v>4.9121778281181863</v>
      </c>
      <c r="L32" s="954">
        <f t="shared" si="13"/>
        <v>7.021291989552954</v>
      </c>
      <c r="M32" s="954">
        <f t="shared" si="14"/>
        <v>3.6042170133934239</v>
      </c>
      <c r="N32" s="954">
        <f>SUM(L32:L$32)/(F32*G32)</f>
        <v>10.129999999999994</v>
      </c>
      <c r="O32" s="954">
        <f t="shared" si="15"/>
        <v>1</v>
      </c>
      <c r="P32" s="954">
        <f t="shared" si="26"/>
        <v>6.4714423590029826</v>
      </c>
      <c r="Q32" s="954">
        <f t="shared" si="16"/>
        <v>3.6585576409970111</v>
      </c>
      <c r="R32" s="954"/>
      <c r="S32" s="954">
        <f t="shared" si="17"/>
        <v>0.30371206331237005</v>
      </c>
      <c r="T32" s="954">
        <f t="shared" si="27"/>
        <v>3.3548455776846411</v>
      </c>
      <c r="U32" s="954">
        <f t="shared" si="31"/>
        <v>6.775154422315353</v>
      </c>
      <c r="V32" s="954">
        <f t="shared" si="18"/>
        <v>0.19230769230769232</v>
      </c>
      <c r="W32" s="950">
        <f t="shared" si="28"/>
        <v>192307.69230769231</v>
      </c>
      <c r="X32" s="953">
        <f t="shared" si="19"/>
        <v>645.16261109320033</v>
      </c>
      <c r="Y32" s="952">
        <f t="shared" si="29"/>
        <v>5.2</v>
      </c>
      <c r="Z32" s="951">
        <f t="shared" si="20"/>
        <v>3.3548455776846411</v>
      </c>
      <c r="AA32" s="951">
        <f t="shared" si="30"/>
        <v>4.9299999999999935</v>
      </c>
      <c r="AB32" s="951">
        <f t="shared" si="21"/>
        <v>1.5751544223153524</v>
      </c>
      <c r="AC32" s="950">
        <f t="shared" si="22"/>
        <v>302.91431198372163</v>
      </c>
    </row>
    <row r="33" spans="1:29">
      <c r="A33" s="936">
        <v>11</v>
      </c>
      <c r="G33" s="936">
        <f t="shared" si="25"/>
        <v>0.93508028206141325</v>
      </c>
    </row>
    <row r="35" spans="1:29" s="948" customFormat="1">
      <c r="A35" s="949" t="s">
        <v>1600</v>
      </c>
    </row>
    <row r="36" spans="1:29" s="937" customFormat="1">
      <c r="A36" s="937" t="s">
        <v>1599</v>
      </c>
      <c r="J36" s="937" t="s">
        <v>1598</v>
      </c>
    </row>
    <row r="37" spans="1:29" s="937" customFormat="1">
      <c r="Y37" s="947" t="s">
        <v>1569</v>
      </c>
    </row>
    <row r="38" spans="1:29" s="937" customFormat="1">
      <c r="A38" s="947" t="s">
        <v>1568</v>
      </c>
      <c r="B38" s="947" t="s">
        <v>1255</v>
      </c>
      <c r="D38" s="947"/>
      <c r="E38" s="947" t="s">
        <v>1219</v>
      </c>
      <c r="Q38" s="937" t="s">
        <v>1566</v>
      </c>
      <c r="S38" s="947" t="s">
        <v>1567</v>
      </c>
      <c r="T38" s="937" t="s">
        <v>1566</v>
      </c>
      <c r="U38" s="947" t="s">
        <v>1558</v>
      </c>
      <c r="X38" s="947" t="s">
        <v>378</v>
      </c>
      <c r="Y38" s="947" t="s">
        <v>1565</v>
      </c>
      <c r="Z38" s="947" t="s">
        <v>1564</v>
      </c>
      <c r="AA38" s="947" t="s">
        <v>548</v>
      </c>
      <c r="AB38" s="947" t="s">
        <v>1556</v>
      </c>
      <c r="AC38" s="947" t="s">
        <v>378</v>
      </c>
    </row>
    <row r="39" spans="1:29" s="937" customFormat="1">
      <c r="A39" s="947" t="s">
        <v>1563</v>
      </c>
      <c r="B39" s="947" t="s">
        <v>165</v>
      </c>
      <c r="C39" s="947" t="s">
        <v>166</v>
      </c>
      <c r="D39" s="947" t="s">
        <v>1193</v>
      </c>
      <c r="E39" s="947" t="s">
        <v>1012</v>
      </c>
      <c r="F39" s="947"/>
      <c r="G39" s="947"/>
      <c r="H39" s="947" t="s">
        <v>1208</v>
      </c>
      <c r="I39" s="947" t="s">
        <v>1562</v>
      </c>
      <c r="L39" s="947" t="s">
        <v>1208</v>
      </c>
      <c r="M39" s="947" t="s">
        <v>1208</v>
      </c>
      <c r="N39" s="947" t="s">
        <v>1209</v>
      </c>
      <c r="O39" s="947" t="s">
        <v>1562</v>
      </c>
      <c r="Q39" s="947" t="s">
        <v>1548</v>
      </c>
      <c r="R39" s="947" t="s">
        <v>1561</v>
      </c>
      <c r="S39" s="947" t="s">
        <v>1561</v>
      </c>
      <c r="T39" s="947" t="s">
        <v>1558</v>
      </c>
      <c r="U39" s="947" t="s">
        <v>1560</v>
      </c>
      <c r="V39" s="947" t="s">
        <v>1559</v>
      </c>
      <c r="X39" s="947" t="s">
        <v>1558</v>
      </c>
      <c r="Y39" s="947" t="s">
        <v>199</v>
      </c>
      <c r="Z39" s="947" t="s">
        <v>726</v>
      </c>
      <c r="AA39" s="947" t="s">
        <v>1557</v>
      </c>
      <c r="AB39" s="947" t="s">
        <v>726</v>
      </c>
      <c r="AC39" s="947" t="s">
        <v>1556</v>
      </c>
    </row>
    <row r="40" spans="1:29" s="937" customFormat="1">
      <c r="A40" s="947" t="s">
        <v>374</v>
      </c>
      <c r="B40" s="947" t="s">
        <v>1543</v>
      </c>
      <c r="C40" s="947" t="s">
        <v>1543</v>
      </c>
      <c r="D40" s="947" t="s">
        <v>1195</v>
      </c>
      <c r="E40" s="947" t="s">
        <v>1195</v>
      </c>
      <c r="F40" s="947" t="s">
        <v>1555</v>
      </c>
      <c r="G40" s="947" t="s">
        <v>1545</v>
      </c>
      <c r="H40" s="947" t="s">
        <v>1549</v>
      </c>
      <c r="I40" s="947" t="s">
        <v>1549</v>
      </c>
      <c r="J40" s="947" t="s">
        <v>1554</v>
      </c>
      <c r="K40" s="947" t="s">
        <v>1553</v>
      </c>
      <c r="L40" s="947" t="s">
        <v>1552</v>
      </c>
      <c r="M40" s="947" t="s">
        <v>1551</v>
      </c>
      <c r="N40" s="947" t="s">
        <v>1550</v>
      </c>
      <c r="O40" s="947" t="s">
        <v>1549</v>
      </c>
      <c r="P40" s="947" t="s">
        <v>1548</v>
      </c>
      <c r="Q40" s="947" t="s">
        <v>1547</v>
      </c>
      <c r="R40" s="947" t="s">
        <v>1546</v>
      </c>
      <c r="S40" s="947" t="s">
        <v>1546</v>
      </c>
      <c r="T40" s="947" t="s">
        <v>726</v>
      </c>
      <c r="U40" s="947" t="s">
        <v>199</v>
      </c>
      <c r="V40" s="947" t="s">
        <v>1545</v>
      </c>
      <c r="W40" s="947" t="s">
        <v>1544</v>
      </c>
      <c r="X40" s="947" t="s">
        <v>726</v>
      </c>
      <c r="Y40" s="947" t="s">
        <v>1543</v>
      </c>
      <c r="Z40" s="947" t="s">
        <v>1542</v>
      </c>
      <c r="AA40" s="947" t="s">
        <v>1542</v>
      </c>
      <c r="AB40" s="947" t="s">
        <v>1542</v>
      </c>
      <c r="AC40" s="947" t="s">
        <v>726</v>
      </c>
    </row>
    <row r="41" spans="1:29" s="937" customFormat="1" ht="14.4">
      <c r="A41" s="937">
        <v>1</v>
      </c>
      <c r="B41" s="944">
        <v>1000</v>
      </c>
      <c r="C41" s="940">
        <f>1</f>
        <v>1</v>
      </c>
      <c r="D41" s="943">
        <f t="shared" ref="D41:D50" si="32">H7</f>
        <v>0.04</v>
      </c>
      <c r="E41" s="942">
        <f t="shared" ref="E41:E50" si="33">L7</f>
        <v>2.25</v>
      </c>
      <c r="F41" s="938">
        <f>1</f>
        <v>1</v>
      </c>
      <c r="G41" s="938">
        <f>B41/1000</f>
        <v>1</v>
      </c>
      <c r="H41" s="938">
        <f t="shared" ref="H41:H50" si="34">F41*G41</f>
        <v>1</v>
      </c>
      <c r="I41" s="938">
        <f>SUM(H41:H$50)/(F41*G41)</f>
        <v>8.2640546298460986</v>
      </c>
      <c r="J41" s="938">
        <f t="shared" ref="J41:J50" si="35">B41*(G41-G42)</f>
        <v>2.2499999999999742</v>
      </c>
      <c r="K41" s="938">
        <f t="shared" ref="K41:K50" si="36">G41*C41</f>
        <v>1</v>
      </c>
      <c r="L41" s="938">
        <f t="shared" ref="L41:L50" si="37">J41*F41</f>
        <v>2.2499999999999742</v>
      </c>
      <c r="M41" s="938">
        <f t="shared" ref="M41:M50" si="38">C41*F41*G41</f>
        <v>1</v>
      </c>
      <c r="N41" s="938">
        <f t="shared" ref="N41:N50" si="39">SUM(L41:L50)/(F41*G41)</f>
        <v>80.143867474483457</v>
      </c>
      <c r="O41" s="938">
        <f t="shared" ref="O41:O50" si="40">I41</f>
        <v>8.2640546298460986</v>
      </c>
      <c r="P41" s="946">
        <f>N41/O41</f>
        <v>9.6978869409985951</v>
      </c>
      <c r="Q41" s="938">
        <f t="shared" ref="Q41:Q50" si="41">N41-O41*P41*C41/C$41</f>
        <v>0</v>
      </c>
      <c r="R41" s="938">
        <f>(N42/O42)-F41*J41/(1+D41)</f>
        <v>8.5597325237689645</v>
      </c>
      <c r="S41" s="938">
        <f t="shared" ref="S41:S50" si="42">R$41*O41/O$41</f>
        <v>8.5597325237689645</v>
      </c>
      <c r="T41" s="938">
        <f>L41-U41</f>
        <v>8.6538461538460787E-2</v>
      </c>
      <c r="U41" s="938">
        <f>F41*J41/(1+D41)</f>
        <v>2.1634615384615135</v>
      </c>
      <c r="V41" s="938">
        <f t="shared" ref="V41:V50" si="43">B7/B$7</f>
        <v>1</v>
      </c>
      <c r="W41" s="941">
        <f>1000000</f>
        <v>1000000</v>
      </c>
      <c r="X41" s="941">
        <f t="shared" ref="X41:X50" si="44">W41*T41/B41</f>
        <v>86.538461538460794</v>
      </c>
      <c r="Y41" s="940">
        <f>B7/(W41/B41)</f>
        <v>5.2</v>
      </c>
      <c r="Z41" s="945">
        <f>J41-MIN(U41,Y41)</f>
        <v>8.6538461538460787E-2</v>
      </c>
      <c r="AA41" s="938">
        <f t="shared" ref="AA41:AA50" si="45">MAX(U41-Y41,0)*O41</f>
        <v>0</v>
      </c>
      <c r="AB41" s="938">
        <f t="shared" ref="AB41:AB50" si="46">W41/B41*AA41</f>
        <v>0</v>
      </c>
      <c r="AC41" s="938">
        <f t="shared" ref="AC41:AC50" si="47">W41/B41*AA41</f>
        <v>0</v>
      </c>
    </row>
    <row r="42" spans="1:29" s="937" customFormat="1" ht="14.4">
      <c r="A42" s="937">
        <f t="shared" ref="A42:A50" si="48">A41+1</f>
        <v>2</v>
      </c>
      <c r="B42" s="944">
        <v>1000</v>
      </c>
      <c r="C42" s="940">
        <f>1</f>
        <v>1</v>
      </c>
      <c r="D42" s="943">
        <f t="shared" si="32"/>
        <v>0.04</v>
      </c>
      <c r="E42" s="942">
        <f t="shared" si="33"/>
        <v>2.6</v>
      </c>
      <c r="F42" s="938">
        <f t="shared" ref="F42:F50" si="49">F41/(1+D41)</f>
        <v>0.96153846153846145</v>
      </c>
      <c r="G42" s="938">
        <f t="shared" ref="G42:G51" si="50">G41*(1-E41/1000)</f>
        <v>0.99775000000000003</v>
      </c>
      <c r="H42" s="938">
        <f t="shared" si="34"/>
        <v>0.95937499999999998</v>
      </c>
      <c r="I42" s="938">
        <f>SUM(H42:H$50)/(F42*G42)</f>
        <v>7.5716530343672677</v>
      </c>
      <c r="J42" s="938">
        <f t="shared" si="35"/>
        <v>2.5941500000000728</v>
      </c>
      <c r="K42" s="938">
        <f t="shared" si="36"/>
        <v>0.99775000000000003</v>
      </c>
      <c r="L42" s="938">
        <f t="shared" si="37"/>
        <v>2.49437500000007</v>
      </c>
      <c r="M42" s="938">
        <f t="shared" si="38"/>
        <v>0.95937499999999998</v>
      </c>
      <c r="N42" s="938">
        <f t="shared" si="39"/>
        <v>81.192304859396472</v>
      </c>
      <c r="O42" s="938">
        <f t="shared" si="40"/>
        <v>7.5716530343672677</v>
      </c>
      <c r="P42" s="938">
        <f t="shared" ref="P42:P50" si="51">P41</f>
        <v>9.6978869409985951</v>
      </c>
      <c r="Q42" s="938">
        <f t="shared" si="41"/>
        <v>7.7632697756337592</v>
      </c>
      <c r="R42" s="938"/>
      <c r="S42" s="938">
        <f t="shared" si="42"/>
        <v>7.8425576354369335</v>
      </c>
      <c r="T42" s="938">
        <f t="shared" ref="T42:T50" si="52">Q42-S42</f>
        <v>-7.9287859803174321E-2</v>
      </c>
      <c r="U42" s="938">
        <f>P41+R41</f>
        <v>18.257619464767558</v>
      </c>
      <c r="V42" s="938">
        <f t="shared" si="43"/>
        <v>0.96153846153846156</v>
      </c>
      <c r="W42" s="941">
        <f t="shared" ref="W42:W50" si="53">W$41*V42</f>
        <v>961538.46153846162</v>
      </c>
      <c r="X42" s="941">
        <f t="shared" si="44"/>
        <v>-76.238326733821467</v>
      </c>
      <c r="Y42" s="940">
        <f t="shared" ref="Y42:Y50" si="54">Y41</f>
        <v>5.2</v>
      </c>
      <c r="Z42" s="940">
        <f t="shared" ref="Z42:Z50" si="55">N42-MIN(Y42,U42)*O42</f>
        <v>41.819709080686678</v>
      </c>
      <c r="AA42" s="940">
        <f t="shared" si="45"/>
        <v>98.867764042020383</v>
      </c>
      <c r="AB42" s="940">
        <f t="shared" si="46"/>
        <v>95065.157732711916</v>
      </c>
      <c r="AC42" s="939">
        <f t="shared" si="47"/>
        <v>95065.157732711916</v>
      </c>
    </row>
    <row r="43" spans="1:29" s="937" customFormat="1" ht="14.4">
      <c r="A43" s="937">
        <f t="shared" si="48"/>
        <v>3</v>
      </c>
      <c r="B43" s="944">
        <v>1000</v>
      </c>
      <c r="C43" s="940">
        <f>1</f>
        <v>1</v>
      </c>
      <c r="D43" s="943">
        <f t="shared" si="32"/>
        <v>0.04</v>
      </c>
      <c r="E43" s="942">
        <f t="shared" si="33"/>
        <v>3.0978723404255319</v>
      </c>
      <c r="F43" s="938">
        <f t="shared" si="49"/>
        <v>0.92455621301775137</v>
      </c>
      <c r="G43" s="938">
        <f t="shared" si="50"/>
        <v>0.99515584999999995</v>
      </c>
      <c r="H43" s="938">
        <f t="shared" si="34"/>
        <v>0.92007752403846144</v>
      </c>
      <c r="I43" s="938">
        <f>SUM(H43:H$50)/(F43*G43)</f>
        <v>6.8523352273330245</v>
      </c>
      <c r="J43" s="938">
        <f t="shared" si="35"/>
        <v>3.0828657821276861</v>
      </c>
      <c r="K43" s="938">
        <f t="shared" si="36"/>
        <v>0.99515584999999995</v>
      </c>
      <c r="L43" s="938">
        <f t="shared" si="37"/>
        <v>2.8502827127659818</v>
      </c>
      <c r="M43" s="938">
        <f t="shared" si="38"/>
        <v>0.92007752403846144</v>
      </c>
      <c r="N43" s="938">
        <f t="shared" si="39"/>
        <v>81.949064621788921</v>
      </c>
      <c r="O43" s="938">
        <f t="shared" si="40"/>
        <v>6.8523352273330245</v>
      </c>
      <c r="P43" s="938">
        <f t="shared" si="51"/>
        <v>9.6978869409985951</v>
      </c>
      <c r="Q43" s="938">
        <f t="shared" si="41"/>
        <v>15.495892305291349</v>
      </c>
      <c r="R43" s="938"/>
      <c r="S43" s="938">
        <f t="shared" si="42"/>
        <v>7.097503506007512</v>
      </c>
      <c r="T43" s="938">
        <f t="shared" si="52"/>
        <v>8.3983887992838362</v>
      </c>
      <c r="U43" s="938">
        <f t="shared" ref="U43:U50" si="56">U42</f>
        <v>18.257619464767558</v>
      </c>
      <c r="V43" s="938">
        <f t="shared" si="43"/>
        <v>0.90384615384615385</v>
      </c>
      <c r="W43" s="941">
        <f t="shared" si="53"/>
        <v>903846.15384615387</v>
      </c>
      <c r="X43" s="941">
        <f t="shared" si="44"/>
        <v>7590.8514147373144</v>
      </c>
      <c r="Y43" s="940">
        <f t="shared" si="54"/>
        <v>5.2</v>
      </c>
      <c r="Z43" s="940">
        <f t="shared" si="55"/>
        <v>46.316921439657193</v>
      </c>
      <c r="AA43" s="940">
        <f t="shared" si="45"/>
        <v>89.475185843536138</v>
      </c>
      <c r="AB43" s="940">
        <f t="shared" si="46"/>
        <v>80871.802589349973</v>
      </c>
      <c r="AC43" s="939">
        <f t="shared" si="47"/>
        <v>80871.802589349973</v>
      </c>
    </row>
    <row r="44" spans="1:29" s="937" customFormat="1" ht="14.4">
      <c r="A44" s="937">
        <f t="shared" si="48"/>
        <v>4</v>
      </c>
      <c r="B44" s="944">
        <v>1000</v>
      </c>
      <c r="C44" s="940">
        <f>1</f>
        <v>1</v>
      </c>
      <c r="D44" s="943">
        <f t="shared" si="32"/>
        <v>0.04</v>
      </c>
      <c r="E44" s="942">
        <f t="shared" si="33"/>
        <v>3.9</v>
      </c>
      <c r="F44" s="938">
        <f t="shared" si="49"/>
        <v>0.88899635867091475</v>
      </c>
      <c r="G44" s="938">
        <f t="shared" si="50"/>
        <v>0.99207298421787227</v>
      </c>
      <c r="H44" s="938">
        <f t="shared" si="34"/>
        <v>0.88194927050547633</v>
      </c>
      <c r="I44" s="938">
        <f>SUM(H44:H$50)/(F44*G44)</f>
        <v>6.1053422071787979</v>
      </c>
      <c r="J44" s="938">
        <f t="shared" si="35"/>
        <v>3.8690846384497046</v>
      </c>
      <c r="K44" s="938">
        <f t="shared" si="36"/>
        <v>0.99207298421787227</v>
      </c>
      <c r="L44" s="938">
        <f t="shared" si="37"/>
        <v>3.43960215497136</v>
      </c>
      <c r="M44" s="938">
        <f t="shared" si="38"/>
        <v>0.88194927050547633</v>
      </c>
      <c r="N44" s="938">
        <f t="shared" si="39"/>
        <v>82.260071171822517</v>
      </c>
      <c r="O44" s="938">
        <f t="shared" si="40"/>
        <v>6.1053422071787979</v>
      </c>
      <c r="P44" s="938">
        <f t="shared" si="51"/>
        <v>9.6978869409985951</v>
      </c>
      <c r="Q44" s="938">
        <f t="shared" si="41"/>
        <v>23.051152710495714</v>
      </c>
      <c r="R44" s="938"/>
      <c r="S44" s="938">
        <f t="shared" si="42"/>
        <v>6.3237839777568103</v>
      </c>
      <c r="T44" s="938">
        <f t="shared" si="52"/>
        <v>16.727368732738903</v>
      </c>
      <c r="U44" s="938">
        <f t="shared" si="56"/>
        <v>18.257619464767558</v>
      </c>
      <c r="V44" s="938">
        <f t="shared" si="43"/>
        <v>0.80769230769230771</v>
      </c>
      <c r="W44" s="941">
        <f t="shared" si="53"/>
        <v>807692.30769230775</v>
      </c>
      <c r="X44" s="941">
        <f t="shared" si="44"/>
        <v>13510.567053366038</v>
      </c>
      <c r="Y44" s="940">
        <f t="shared" si="54"/>
        <v>5.2</v>
      </c>
      <c r="Z44" s="940">
        <f t="shared" si="55"/>
        <v>50.512291694492767</v>
      </c>
      <c r="AA44" s="940">
        <f t="shared" si="45"/>
        <v>79.721235243524802</v>
      </c>
      <c r="AB44" s="940">
        <f t="shared" si="46"/>
        <v>64390.228465923879</v>
      </c>
      <c r="AC44" s="939">
        <f t="shared" si="47"/>
        <v>64390.228465923879</v>
      </c>
    </row>
    <row r="45" spans="1:29" s="937" customFormat="1" ht="14.4">
      <c r="A45" s="937">
        <f t="shared" si="48"/>
        <v>5</v>
      </c>
      <c r="B45" s="944">
        <v>1000</v>
      </c>
      <c r="C45" s="940">
        <f>1</f>
        <v>1</v>
      </c>
      <c r="D45" s="943">
        <f t="shared" si="32"/>
        <v>0.04</v>
      </c>
      <c r="E45" s="942">
        <f t="shared" si="33"/>
        <v>5.274285714285714</v>
      </c>
      <c r="F45" s="938">
        <f t="shared" si="49"/>
        <v>0.85480419102972571</v>
      </c>
      <c r="G45" s="938">
        <f t="shared" si="50"/>
        <v>0.98820389957942256</v>
      </c>
      <c r="H45" s="938">
        <f t="shared" si="34"/>
        <v>0.84472083495240857</v>
      </c>
      <c r="I45" s="938">
        <f>SUM(H45:H$50)/(F45*G45)</f>
        <v>5.3303442379941277</v>
      </c>
      <c r="J45" s="938">
        <f t="shared" si="35"/>
        <v>5.212069710353151</v>
      </c>
      <c r="K45" s="938">
        <f t="shared" si="36"/>
        <v>0.98820389957942256</v>
      </c>
      <c r="L45" s="938">
        <f t="shared" si="37"/>
        <v>4.4552990323489619</v>
      </c>
      <c r="M45" s="938">
        <f t="shared" si="38"/>
        <v>0.84472083495240857</v>
      </c>
      <c r="N45" s="938">
        <f t="shared" si="39"/>
        <v>81.813546851415936</v>
      </c>
      <c r="O45" s="938">
        <f t="shared" si="40"/>
        <v>5.3303442379941277</v>
      </c>
      <c r="P45" s="938">
        <f t="shared" si="51"/>
        <v>9.6978869409985951</v>
      </c>
      <c r="Q45" s="938">
        <f t="shared" si="41"/>
        <v>30.120471074745581</v>
      </c>
      <c r="R45" s="938"/>
      <c r="S45" s="938">
        <f t="shared" si="42"/>
        <v>5.5210575172217284</v>
      </c>
      <c r="T45" s="938">
        <f t="shared" si="52"/>
        <v>24.599413557523853</v>
      </c>
      <c r="U45" s="938">
        <f t="shared" si="56"/>
        <v>18.257619464767558</v>
      </c>
      <c r="V45" s="938">
        <f t="shared" si="43"/>
        <v>0.67307692307692313</v>
      </c>
      <c r="W45" s="941">
        <f t="shared" si="53"/>
        <v>673076.92307692312</v>
      </c>
      <c r="X45" s="941">
        <f t="shared" si="44"/>
        <v>16557.297586794903</v>
      </c>
      <c r="Y45" s="940">
        <f t="shared" si="54"/>
        <v>5.2</v>
      </c>
      <c r="Z45" s="940">
        <f t="shared" si="55"/>
        <v>54.095756813846471</v>
      </c>
      <c r="AA45" s="940">
        <f t="shared" si="45"/>
        <v>69.601606675943728</v>
      </c>
      <c r="AB45" s="940">
        <f t="shared" si="46"/>
        <v>46847.235262654431</v>
      </c>
      <c r="AC45" s="939">
        <f t="shared" si="47"/>
        <v>46847.235262654431</v>
      </c>
    </row>
    <row r="46" spans="1:29" s="937" customFormat="1" ht="14.4">
      <c r="A46" s="937">
        <f t="shared" si="48"/>
        <v>6</v>
      </c>
      <c r="B46" s="944">
        <v>1000</v>
      </c>
      <c r="C46" s="940">
        <f>1</f>
        <v>1</v>
      </c>
      <c r="D46" s="943">
        <f t="shared" si="32"/>
        <v>0.04</v>
      </c>
      <c r="E46" s="942">
        <f t="shared" si="33"/>
        <v>7.4285714285714297</v>
      </c>
      <c r="F46" s="938">
        <f t="shared" si="49"/>
        <v>0.82192710675935166</v>
      </c>
      <c r="G46" s="938">
        <f t="shared" si="50"/>
        <v>0.98299182986906941</v>
      </c>
      <c r="H46" s="938">
        <f t="shared" si="34"/>
        <v>0.80794763069236508</v>
      </c>
      <c r="I46" s="938">
        <f>SUM(H46:H$50)/(F46*G46)</f>
        <v>4.5274370038254972</v>
      </c>
      <c r="J46" s="938">
        <f t="shared" si="35"/>
        <v>7.3022250218844897</v>
      </c>
      <c r="K46" s="938">
        <f t="shared" si="36"/>
        <v>0.98299182986906941</v>
      </c>
      <c r="L46" s="938">
        <f t="shared" si="37"/>
        <v>6.0018966851432616</v>
      </c>
      <c r="M46" s="938">
        <f t="shared" si="38"/>
        <v>0.80794763069236508</v>
      </c>
      <c r="N46" s="938">
        <f t="shared" si="39"/>
        <v>80.02289519556119</v>
      </c>
      <c r="O46" s="938">
        <f t="shared" si="40"/>
        <v>4.5274370038254972</v>
      </c>
      <c r="P46" s="938">
        <f t="shared" si="51"/>
        <v>9.6978869409985951</v>
      </c>
      <c r="Q46" s="938">
        <f t="shared" si="41"/>
        <v>36.116322999968098</v>
      </c>
      <c r="R46" s="938"/>
      <c r="S46" s="938">
        <f t="shared" si="42"/>
        <v>4.6894232319083704</v>
      </c>
      <c r="T46" s="938">
        <f t="shared" si="52"/>
        <v>31.426899768059727</v>
      </c>
      <c r="U46" s="938">
        <f t="shared" si="56"/>
        <v>18.257619464767558</v>
      </c>
      <c r="V46" s="938">
        <f t="shared" si="43"/>
        <v>0.53846153846153844</v>
      </c>
      <c r="W46" s="941">
        <f t="shared" si="53"/>
        <v>538461.53846153838</v>
      </c>
      <c r="X46" s="941">
        <f t="shared" si="44"/>
        <v>16922.176798186003</v>
      </c>
      <c r="Y46" s="940">
        <f t="shared" si="54"/>
        <v>5.2</v>
      </c>
      <c r="Z46" s="940">
        <f t="shared" si="55"/>
        <v>56.480222775668608</v>
      </c>
      <c r="AA46" s="940">
        <f t="shared" si="45"/>
        <v>59.117549546660726</v>
      </c>
      <c r="AB46" s="940">
        <f t="shared" si="46"/>
        <v>31832.526678971153</v>
      </c>
      <c r="AC46" s="939">
        <f t="shared" si="47"/>
        <v>31832.526678971153</v>
      </c>
    </row>
    <row r="47" spans="1:29" s="937" customFormat="1" ht="14.4">
      <c r="A47" s="937">
        <f t="shared" si="48"/>
        <v>7</v>
      </c>
      <c r="B47" s="944">
        <v>1000</v>
      </c>
      <c r="C47" s="940">
        <f>1</f>
        <v>1</v>
      </c>
      <c r="D47" s="943">
        <f t="shared" si="32"/>
        <v>0.04</v>
      </c>
      <c r="E47" s="942">
        <f t="shared" si="33"/>
        <v>10.636363636363637</v>
      </c>
      <c r="F47" s="938">
        <f t="shared" si="49"/>
        <v>0.79031452573014582</v>
      </c>
      <c r="G47" s="938">
        <f t="shared" si="50"/>
        <v>0.97568960484718492</v>
      </c>
      <c r="H47" s="938">
        <f t="shared" si="34"/>
        <v>0.77110166731463636</v>
      </c>
      <c r="I47" s="938">
        <f>SUM(H47:H$50)/(F47*G47)</f>
        <v>3.695990412759012</v>
      </c>
      <c r="J47" s="938">
        <f t="shared" si="35"/>
        <v>10.377789433374641</v>
      </c>
      <c r="K47" s="938">
        <f t="shared" si="36"/>
        <v>0.97568960484718492</v>
      </c>
      <c r="L47" s="938">
        <f t="shared" si="37"/>
        <v>8.2017177341647987</v>
      </c>
      <c r="M47" s="938">
        <f t="shared" si="38"/>
        <v>0.77110166731463636</v>
      </c>
      <c r="N47" s="938">
        <f t="shared" si="39"/>
        <v>76.063137165182169</v>
      </c>
      <c r="O47" s="938">
        <f t="shared" si="40"/>
        <v>3.695990412759012</v>
      </c>
      <c r="P47" s="938">
        <f t="shared" si="51"/>
        <v>9.6978869409985951</v>
      </c>
      <c r="Q47" s="938">
        <f t="shared" si="41"/>
        <v>40.219840007230538</v>
      </c>
      <c r="R47" s="938"/>
      <c r="S47" s="938">
        <f t="shared" si="42"/>
        <v>3.8282284859751421</v>
      </c>
      <c r="T47" s="938">
        <f t="shared" si="52"/>
        <v>36.391611521255399</v>
      </c>
      <c r="U47" s="938">
        <f t="shared" si="56"/>
        <v>18.257619464767558</v>
      </c>
      <c r="V47" s="938">
        <f t="shared" si="43"/>
        <v>0.42307692307692307</v>
      </c>
      <c r="W47" s="941">
        <f t="shared" si="53"/>
        <v>423076.92307692306</v>
      </c>
      <c r="X47" s="941">
        <f t="shared" si="44"/>
        <v>15396.451028223439</v>
      </c>
      <c r="Y47" s="940">
        <f t="shared" si="54"/>
        <v>5.2</v>
      </c>
      <c r="Z47" s="940">
        <f t="shared" si="55"/>
        <v>56.843987018835307</v>
      </c>
      <c r="AA47" s="940">
        <f t="shared" si="45"/>
        <v>48.260836355236357</v>
      </c>
      <c r="AB47" s="940">
        <f t="shared" si="46"/>
        <v>20418.046150292303</v>
      </c>
      <c r="AC47" s="939">
        <f t="shared" si="47"/>
        <v>20418.046150292303</v>
      </c>
    </row>
    <row r="48" spans="1:29" s="937" customFormat="1" ht="14.4">
      <c r="A48" s="937">
        <f t="shared" si="48"/>
        <v>8</v>
      </c>
      <c r="B48" s="944">
        <v>1000</v>
      </c>
      <c r="C48" s="940">
        <f>1</f>
        <v>1</v>
      </c>
      <c r="D48" s="943">
        <f t="shared" si="32"/>
        <v>0.04</v>
      </c>
      <c r="E48" s="942">
        <f t="shared" si="33"/>
        <v>16.058823529411764</v>
      </c>
      <c r="F48" s="938">
        <f t="shared" si="49"/>
        <v>0.75991781320206331</v>
      </c>
      <c r="G48" s="938">
        <f t="shared" si="50"/>
        <v>0.96531181541381028</v>
      </c>
      <c r="H48" s="938">
        <f t="shared" si="34"/>
        <v>0.73355764382737654</v>
      </c>
      <c r="I48" s="938">
        <f>SUM(H48:H$50)/(F48*G48)</f>
        <v>2.8339731987469539</v>
      </c>
      <c r="J48" s="938">
        <f t="shared" si="35"/>
        <v>15.501772094586475</v>
      </c>
      <c r="K48" s="938">
        <f t="shared" si="36"/>
        <v>0.96531181541381028</v>
      </c>
      <c r="L48" s="938">
        <f t="shared" si="37"/>
        <v>11.780072750874922</v>
      </c>
      <c r="M48" s="938">
        <f t="shared" si="38"/>
        <v>0.73355764382737654</v>
      </c>
      <c r="N48" s="938">
        <f t="shared" si="39"/>
        <v>68.77536425339369</v>
      </c>
      <c r="O48" s="938">
        <f t="shared" si="40"/>
        <v>2.8339731987469539</v>
      </c>
      <c r="P48" s="938">
        <f t="shared" si="51"/>
        <v>9.6978869409985951</v>
      </c>
      <c r="Q48" s="938">
        <f t="shared" si="41"/>
        <v>41.291812578125587</v>
      </c>
      <c r="R48" s="938"/>
      <c r="S48" s="938">
        <f t="shared" si="42"/>
        <v>2.9353693371283565</v>
      </c>
      <c r="T48" s="938">
        <f t="shared" si="52"/>
        <v>38.35644324099723</v>
      </c>
      <c r="U48" s="938">
        <f t="shared" si="56"/>
        <v>18.257619464767558</v>
      </c>
      <c r="V48" s="938">
        <f t="shared" si="43"/>
        <v>0.32692307692307693</v>
      </c>
      <c r="W48" s="941">
        <f t="shared" si="53"/>
        <v>326923.07692307694</v>
      </c>
      <c r="X48" s="941">
        <f t="shared" si="44"/>
        <v>12539.606444172172</v>
      </c>
      <c r="Y48" s="940">
        <f t="shared" si="54"/>
        <v>5.2</v>
      </c>
      <c r="Z48" s="940">
        <f t="shared" si="55"/>
        <v>54.038703619909526</v>
      </c>
      <c r="AA48" s="940">
        <f t="shared" si="45"/>
        <v>37.004943602587808</v>
      </c>
      <c r="AB48" s="940">
        <f t="shared" si="46"/>
        <v>12097.770023922938</v>
      </c>
      <c r="AC48" s="939">
        <f t="shared" si="47"/>
        <v>12097.770023922938</v>
      </c>
    </row>
    <row r="49" spans="1:29" s="937" customFormat="1" ht="14.4">
      <c r="A49" s="937">
        <f t="shared" si="48"/>
        <v>9</v>
      </c>
      <c r="B49" s="944">
        <v>1000</v>
      </c>
      <c r="C49" s="940">
        <f>1</f>
        <v>1</v>
      </c>
      <c r="D49" s="943">
        <f t="shared" si="32"/>
        <v>0.04</v>
      </c>
      <c r="E49" s="942">
        <f t="shared" si="33"/>
        <v>24</v>
      </c>
      <c r="F49" s="938">
        <f t="shared" si="49"/>
        <v>0.73069020500198389</v>
      </c>
      <c r="G49" s="938">
        <f t="shared" si="50"/>
        <v>0.94981004331922381</v>
      </c>
      <c r="H49" s="938">
        <f t="shared" si="34"/>
        <v>0.69401689526586685</v>
      </c>
      <c r="I49" s="938">
        <f>SUM(H49:H$50)/(F49*G49)</f>
        <v>1.9384615384615385</v>
      </c>
      <c r="J49" s="938">
        <f t="shared" si="35"/>
        <v>22.795441039661355</v>
      </c>
      <c r="K49" s="938">
        <f t="shared" si="36"/>
        <v>0.94981004331922381</v>
      </c>
      <c r="L49" s="938">
        <f t="shared" si="37"/>
        <v>16.656405486380791</v>
      </c>
      <c r="M49" s="938">
        <f t="shared" si="38"/>
        <v>0.69401689526586685</v>
      </c>
      <c r="N49" s="938">
        <f t="shared" si="39"/>
        <v>55.720000000000041</v>
      </c>
      <c r="O49" s="938">
        <f t="shared" si="40"/>
        <v>1.9384615384615385</v>
      </c>
      <c r="P49" s="938">
        <f t="shared" si="51"/>
        <v>9.6978869409985951</v>
      </c>
      <c r="Q49" s="938">
        <f t="shared" si="41"/>
        <v>36.921019160525844</v>
      </c>
      <c r="R49" s="938"/>
      <c r="S49" s="938">
        <f t="shared" si="42"/>
        <v>2.0078173511727453</v>
      </c>
      <c r="T49" s="938">
        <f t="shared" si="52"/>
        <v>34.913201809353097</v>
      </c>
      <c r="U49" s="938">
        <f t="shared" si="56"/>
        <v>18.257619464767558</v>
      </c>
      <c r="V49" s="938">
        <f t="shared" si="43"/>
        <v>0.25</v>
      </c>
      <c r="W49" s="941">
        <f t="shared" si="53"/>
        <v>250000</v>
      </c>
      <c r="X49" s="941">
        <f t="shared" si="44"/>
        <v>8728.3004523382751</v>
      </c>
      <c r="Y49" s="940">
        <f t="shared" si="54"/>
        <v>5.2</v>
      </c>
      <c r="Z49" s="940">
        <f t="shared" si="55"/>
        <v>45.640000000000043</v>
      </c>
      <c r="AA49" s="940">
        <f t="shared" si="45"/>
        <v>25.311693116318651</v>
      </c>
      <c r="AB49" s="940">
        <f t="shared" si="46"/>
        <v>6327.9232790796623</v>
      </c>
      <c r="AC49" s="939">
        <f t="shared" si="47"/>
        <v>6327.9232790796623</v>
      </c>
    </row>
    <row r="50" spans="1:29" s="937" customFormat="1" ht="14.4">
      <c r="A50" s="937">
        <f t="shared" si="48"/>
        <v>10</v>
      </c>
      <c r="B50" s="944">
        <v>1000</v>
      </c>
      <c r="C50" s="940">
        <f>1</f>
        <v>1</v>
      </c>
      <c r="D50" s="943">
        <f t="shared" si="32"/>
        <v>0.04</v>
      </c>
      <c r="E50" s="942">
        <f t="shared" si="33"/>
        <v>33.799999999999997</v>
      </c>
      <c r="F50" s="938">
        <f t="shared" si="49"/>
        <v>0.70258673557883067</v>
      </c>
      <c r="G50" s="938">
        <f t="shared" si="50"/>
        <v>0.92701460227956245</v>
      </c>
      <c r="H50" s="938">
        <f t="shared" si="34"/>
        <v>0.6513081632495058</v>
      </c>
      <c r="I50" s="938">
        <f>SUM(H50:H$50)/(F50*G50)</f>
        <v>1</v>
      </c>
      <c r="J50" s="938">
        <f t="shared" si="35"/>
        <v>31.333093557049274</v>
      </c>
      <c r="K50" s="938">
        <f t="shared" si="36"/>
        <v>0.92701460227956245</v>
      </c>
      <c r="L50" s="938">
        <f t="shared" si="37"/>
        <v>22.01421591783334</v>
      </c>
      <c r="M50" s="938">
        <f t="shared" si="38"/>
        <v>0.6513081632495058</v>
      </c>
      <c r="N50" s="938">
        <f t="shared" si="39"/>
        <v>33.800000000000068</v>
      </c>
      <c r="O50" s="938">
        <f t="shared" si="40"/>
        <v>1</v>
      </c>
      <c r="P50" s="938">
        <f t="shared" si="51"/>
        <v>9.6978869409985951</v>
      </c>
      <c r="Q50" s="938">
        <f t="shared" si="41"/>
        <v>24.102113059001475</v>
      </c>
      <c r="R50" s="938"/>
      <c r="S50" s="938">
        <f t="shared" si="42"/>
        <v>1.0357787922716541</v>
      </c>
      <c r="T50" s="938">
        <f t="shared" si="52"/>
        <v>23.066334266729822</v>
      </c>
      <c r="U50" s="938">
        <f t="shared" si="56"/>
        <v>18.257619464767558</v>
      </c>
      <c r="V50" s="938">
        <f t="shared" si="43"/>
        <v>0.19230769230769232</v>
      </c>
      <c r="W50" s="941">
        <f t="shared" si="53"/>
        <v>192307.69230769231</v>
      </c>
      <c r="X50" s="941">
        <f t="shared" si="44"/>
        <v>4435.833512832658</v>
      </c>
      <c r="Y50" s="940">
        <f t="shared" si="54"/>
        <v>5.2</v>
      </c>
      <c r="Z50" s="940">
        <f t="shared" si="55"/>
        <v>28.600000000000069</v>
      </c>
      <c r="AA50" s="940">
        <f t="shared" si="45"/>
        <v>13.057619464767559</v>
      </c>
      <c r="AB50" s="940">
        <f t="shared" si="46"/>
        <v>2511.0806663014537</v>
      </c>
      <c r="AC50" s="939">
        <f t="shared" si="47"/>
        <v>2511.0806663014537</v>
      </c>
    </row>
    <row r="51" spans="1:29" s="937" customFormat="1" ht="14.4">
      <c r="A51" s="937">
        <v>11</v>
      </c>
      <c r="F51" s="938"/>
      <c r="G51" s="938">
        <f t="shared" si="50"/>
        <v>0.89568150872251318</v>
      </c>
      <c r="H51" s="938"/>
      <c r="I51" s="938"/>
      <c r="J51" s="938"/>
      <c r="K51" s="938"/>
      <c r="L51" s="938"/>
      <c r="M51" s="938"/>
      <c r="N51" s="938"/>
      <c r="O51" s="938"/>
      <c r="P51" s="938"/>
      <c r="Q51" s="938"/>
      <c r="R51" s="938"/>
      <c r="S51" s="938"/>
      <c r="T51" s="938"/>
      <c r="U51" s="938"/>
      <c r="V51" s="938"/>
      <c r="W51" s="938"/>
      <c r="X51" s="938"/>
      <c r="Y51" s="938"/>
      <c r="Z51" s="938"/>
      <c r="AA51" s="938"/>
      <c r="AB51" s="938"/>
      <c r="AC51" s="938"/>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5C41A-AAB3-4CF6-B595-E84C94621F29}">
  <sheetPr>
    <tabColor theme="3"/>
  </sheetPr>
  <dimension ref="A1"/>
  <sheetViews>
    <sheetView workbookViewId="0">
      <selection activeCell="L16" sqref="L16"/>
    </sheetView>
  </sheetViews>
  <sheetFormatPr defaultRowHeight="13.2"/>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DD10E-FF6A-47CF-957B-77D97A3220B5}">
  <dimension ref="A1:J12"/>
  <sheetViews>
    <sheetView workbookViewId="0"/>
  </sheetViews>
  <sheetFormatPr defaultColWidth="8.77734375" defaultRowHeight="14.4"/>
  <cols>
    <col min="1" max="1" width="17.44140625" style="67" customWidth="1"/>
    <col min="2" max="16384" width="8.77734375" style="67"/>
  </cols>
  <sheetData>
    <row r="1" spans="1:10" s="66" customFormat="1" ht="17.399999999999999">
      <c r="A1" s="65" t="s">
        <v>567</v>
      </c>
    </row>
    <row r="2" spans="1:10" s="66" customFormat="1" ht="15.6">
      <c r="A2" s="68" t="s">
        <v>244</v>
      </c>
    </row>
    <row r="3" spans="1:10" s="66" customFormat="1" ht="15.6">
      <c r="A3" s="68" t="s">
        <v>568</v>
      </c>
      <c r="B3" s="69"/>
      <c r="C3" s="69"/>
      <c r="D3" s="69"/>
      <c r="E3" s="69"/>
      <c r="F3" s="69"/>
      <c r="G3" s="69"/>
      <c r="H3" s="69"/>
      <c r="I3" s="69"/>
      <c r="J3" s="69"/>
    </row>
    <row r="4" spans="1:10" s="66" customFormat="1"/>
    <row r="5" spans="1:10" s="66" customFormat="1" ht="15.6">
      <c r="A5" s="71" t="s">
        <v>569</v>
      </c>
    </row>
    <row r="6" spans="1:10" s="66" customFormat="1" ht="16.2" thickBot="1">
      <c r="A6" s="71"/>
    </row>
    <row r="7" spans="1:10" s="66" customFormat="1" ht="16.2" thickBot="1">
      <c r="A7" s="110" t="s">
        <v>570</v>
      </c>
      <c r="B7" s="140">
        <v>0</v>
      </c>
      <c r="C7" s="140">
        <v>1</v>
      </c>
      <c r="D7" s="140">
        <v>2</v>
      </c>
      <c r="E7" s="140">
        <v>3</v>
      </c>
      <c r="F7" s="140">
        <v>4</v>
      </c>
    </row>
    <row r="8" spans="1:10" s="66" customFormat="1" ht="31.8" thickBot="1">
      <c r="A8" s="112" t="s">
        <v>571</v>
      </c>
      <c r="B8" s="134">
        <v>2000</v>
      </c>
      <c r="C8" s="133">
        <v>400</v>
      </c>
      <c r="D8" s="133">
        <v>-200</v>
      </c>
      <c r="E8" s="133">
        <v>-650</v>
      </c>
      <c r="F8" s="134">
        <v>1000</v>
      </c>
    </row>
    <row r="9" spans="1:10" s="66" customFormat="1" ht="31.8" thickBot="1">
      <c r="A9" s="112" t="s">
        <v>572</v>
      </c>
      <c r="B9" s="133" t="s">
        <v>573</v>
      </c>
      <c r="C9" s="228">
        <v>0.01</v>
      </c>
      <c r="D9" s="228">
        <v>1.2E-2</v>
      </c>
      <c r="E9" s="228">
        <v>1.4999999999999999E-2</v>
      </c>
      <c r="F9" s="228">
        <v>0.02</v>
      </c>
    </row>
    <row r="10" spans="1:10" s="66" customFormat="1" ht="15.6">
      <c r="A10" s="70"/>
    </row>
    <row r="11" spans="1:10" s="66" customFormat="1" ht="15.6">
      <c r="A11" s="70" t="s">
        <v>574</v>
      </c>
    </row>
    <row r="12" spans="1:10" ht="15.6">
      <c r="A12" s="229" t="s">
        <v>24</v>
      </c>
    </row>
  </sheetData>
  <pageMargins left="0.7" right="0.7" top="0.75" bottom="0.75" header="0.3" footer="0.3"/>
  <pageSetup orientation="portrait" horizontalDpi="4294967293" verticalDpi="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CAA08-445C-4641-BF9C-B4AFE46D3344}">
  <sheetPr>
    <tabColor rgb="FFFF0000"/>
  </sheetPr>
  <dimension ref="A1:J14"/>
  <sheetViews>
    <sheetView workbookViewId="0"/>
  </sheetViews>
  <sheetFormatPr defaultColWidth="8.77734375" defaultRowHeight="14.4"/>
  <cols>
    <col min="1" max="1" width="30.44140625" style="274" customWidth="1"/>
    <col min="2" max="2" width="23" style="274" customWidth="1"/>
    <col min="3" max="3" width="8.77734375" style="274"/>
    <col min="4" max="4" width="22.21875" style="274" customWidth="1"/>
    <col min="5" max="16384" width="8.77734375" style="274"/>
  </cols>
  <sheetData>
    <row r="1" spans="1:10" s="265" customFormat="1" ht="17.399999999999999">
      <c r="A1" s="264" t="s">
        <v>575</v>
      </c>
    </row>
    <row r="2" spans="1:10" s="265" customFormat="1" ht="15.6">
      <c r="A2" s="266" t="s">
        <v>291</v>
      </c>
    </row>
    <row r="3" spans="1:10" s="265" customFormat="1" ht="15.6">
      <c r="A3" s="266" t="s">
        <v>576</v>
      </c>
      <c r="B3" s="267"/>
      <c r="C3" s="267"/>
      <c r="D3" s="267"/>
      <c r="E3" s="267"/>
      <c r="F3" s="267"/>
      <c r="G3" s="267"/>
      <c r="H3" s="267"/>
      <c r="I3" s="267"/>
      <c r="J3" s="267"/>
    </row>
    <row r="4" spans="1:10" s="265" customFormat="1" ht="15.6">
      <c r="A4" s="268" t="s">
        <v>577</v>
      </c>
    </row>
    <row r="5" spans="1:10" s="265" customFormat="1" ht="16.2" thickBot="1">
      <c r="A5" s="268"/>
    </row>
    <row r="6" spans="1:10" s="265" customFormat="1" ht="15" customHeight="1" thickBot="1">
      <c r="A6" s="269" t="s">
        <v>578</v>
      </c>
      <c r="B6" s="270">
        <v>1.3</v>
      </c>
    </row>
    <row r="7" spans="1:10" s="265" customFormat="1" ht="15" customHeight="1" thickBot="1">
      <c r="A7" s="271" t="s">
        <v>579</v>
      </c>
      <c r="B7" s="272">
        <v>1.2</v>
      </c>
    </row>
    <row r="8" spans="1:10" s="265" customFormat="1" ht="15" customHeight="1" thickBot="1">
      <c r="A8" s="271" t="s">
        <v>580</v>
      </c>
      <c r="B8" s="272">
        <v>0.2</v>
      </c>
    </row>
    <row r="9" spans="1:10" s="265" customFormat="1" ht="15" customHeight="1" thickBot="1">
      <c r="A9" s="271" t="s">
        <v>581</v>
      </c>
      <c r="B9" s="272">
        <v>0.4</v>
      </c>
    </row>
    <row r="10" spans="1:10" s="265" customFormat="1" ht="15" customHeight="1" thickBot="1">
      <c r="A10" s="271" t="s">
        <v>582</v>
      </c>
      <c r="B10" s="272">
        <v>3</v>
      </c>
    </row>
    <row r="11" spans="1:10" s="265" customFormat="1" ht="15.6">
      <c r="A11" s="268"/>
    </row>
    <row r="12" spans="1:10" s="265" customFormat="1" ht="15.6">
      <c r="A12" s="268" t="s">
        <v>767</v>
      </c>
      <c r="B12" s="268"/>
      <c r="C12" s="268"/>
      <c r="D12" s="268"/>
    </row>
    <row r="13" spans="1:10" s="265" customFormat="1" ht="15.6">
      <c r="A13" s="273" t="s">
        <v>583</v>
      </c>
    </row>
    <row r="14" spans="1:10">
      <c r="A14" s="274" t="s">
        <v>24</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6EE7D-149C-419A-A6A8-E8F40ABB90C9}">
  <dimension ref="A1:J16"/>
  <sheetViews>
    <sheetView workbookViewId="0"/>
  </sheetViews>
  <sheetFormatPr defaultColWidth="8.77734375" defaultRowHeight="14.4"/>
  <cols>
    <col min="1" max="1" width="12.21875" style="67" customWidth="1"/>
    <col min="2" max="2" width="8.77734375" style="67"/>
    <col min="3" max="3" width="13.77734375" style="67" customWidth="1"/>
    <col min="4" max="4" width="15.5546875" style="67" customWidth="1"/>
    <col min="5" max="16384" width="8.77734375" style="67"/>
  </cols>
  <sheetData>
    <row r="1" spans="1:10" s="66" customFormat="1" ht="17.399999999999999">
      <c r="A1" s="65" t="s">
        <v>584</v>
      </c>
    </row>
    <row r="2" spans="1:10" s="66" customFormat="1" ht="15.6">
      <c r="A2" s="68" t="s">
        <v>244</v>
      </c>
    </row>
    <row r="3" spans="1:10" s="66" customFormat="1" ht="15.6">
      <c r="A3" s="68" t="s">
        <v>568</v>
      </c>
      <c r="B3" s="69"/>
      <c r="C3" s="69"/>
      <c r="D3" s="69"/>
      <c r="E3" s="69"/>
      <c r="F3" s="69"/>
      <c r="G3" s="69"/>
      <c r="H3" s="69"/>
      <c r="I3" s="69"/>
      <c r="J3" s="69"/>
    </row>
    <row r="4" spans="1:10" s="66" customFormat="1" ht="15.6">
      <c r="A4" s="141" t="s">
        <v>585</v>
      </c>
    </row>
    <row r="5" spans="1:10" s="66" customFormat="1" ht="16.2" thickBot="1">
      <c r="A5" s="71"/>
    </row>
    <row r="6" spans="1:10" s="66" customFormat="1" ht="51.6" customHeight="1" thickBot="1">
      <c r="A6" s="231"/>
      <c r="B6" s="140" t="s">
        <v>586</v>
      </c>
      <c r="C6" s="140" t="s">
        <v>587</v>
      </c>
      <c r="D6" s="140" t="s">
        <v>588</v>
      </c>
    </row>
    <row r="7" spans="1:10" s="66" customFormat="1" ht="16.2" thickBot="1">
      <c r="A7" s="232" t="s">
        <v>589</v>
      </c>
      <c r="B7" s="133">
        <v>20</v>
      </c>
      <c r="C7" s="133">
        <v>210</v>
      </c>
      <c r="D7" s="133">
        <v>200</v>
      </c>
    </row>
    <row r="8" spans="1:10" s="66" customFormat="1" ht="16.2" thickBot="1">
      <c r="A8" s="232" t="s">
        <v>590</v>
      </c>
      <c r="B8" s="133">
        <v>10</v>
      </c>
      <c r="C8" s="133">
        <v>190</v>
      </c>
      <c r="D8" s="133">
        <v>180</v>
      </c>
    </row>
    <row r="9" spans="1:10" s="66" customFormat="1" ht="16.2" thickBot="1">
      <c r="A9" s="232" t="s">
        <v>591</v>
      </c>
      <c r="B9" s="133">
        <v>0</v>
      </c>
      <c r="C9" s="133">
        <v>200</v>
      </c>
      <c r="D9" s="133">
        <v>220</v>
      </c>
    </row>
    <row r="10" spans="1:10" s="66" customFormat="1" ht="16.2" thickBot="1">
      <c r="A10" s="232" t="s">
        <v>592</v>
      </c>
      <c r="B10" s="133">
        <v>50</v>
      </c>
      <c r="C10" s="133">
        <v>295</v>
      </c>
      <c r="D10" s="133">
        <v>250</v>
      </c>
    </row>
    <row r="11" spans="1:10" s="66" customFormat="1" ht="16.2" thickBot="1">
      <c r="A11" s="232" t="s">
        <v>593</v>
      </c>
      <c r="B11" s="133">
        <v>6</v>
      </c>
      <c r="C11" s="133">
        <v>155</v>
      </c>
      <c r="D11" s="133">
        <v>150</v>
      </c>
    </row>
    <row r="12" spans="1:10" s="66" customFormat="1" ht="21" customHeight="1" thickBot="1">
      <c r="A12" s="232" t="s">
        <v>594</v>
      </c>
      <c r="B12" s="133">
        <v>75</v>
      </c>
      <c r="C12" s="133">
        <v>1050</v>
      </c>
      <c r="D12" s="133">
        <v>1000</v>
      </c>
    </row>
    <row r="13" spans="1:10" s="66" customFormat="1" ht="15.6">
      <c r="A13" s="71"/>
    </row>
    <row r="14" spans="1:10" s="66" customFormat="1" ht="15.6">
      <c r="A14" s="230" t="s">
        <v>595</v>
      </c>
    </row>
    <row r="15" spans="1:10" s="66" customFormat="1">
      <c r="A15" s="66" t="s">
        <v>596</v>
      </c>
    </row>
    <row r="16" spans="1:10">
      <c r="A16" s="67" t="s">
        <v>24</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1985C-D8FB-4ACB-8EAF-D5882800186C}">
  <sheetPr>
    <tabColor rgb="FFFF0000"/>
  </sheetPr>
  <dimension ref="A1:J26"/>
  <sheetViews>
    <sheetView workbookViewId="0"/>
  </sheetViews>
  <sheetFormatPr defaultColWidth="8.77734375" defaultRowHeight="14.4"/>
  <cols>
    <col min="1" max="1" width="8.77734375" style="274"/>
    <col min="2" max="2" width="22.44140625" style="274" customWidth="1"/>
    <col min="3" max="3" width="17.77734375" style="274" customWidth="1"/>
    <col min="4" max="4" width="14.21875" style="274" customWidth="1"/>
    <col min="5" max="16384" width="8.77734375" style="274"/>
  </cols>
  <sheetData>
    <row r="1" spans="1:10" s="265" customFormat="1" ht="17.399999999999999">
      <c r="A1" s="264" t="s">
        <v>597</v>
      </c>
    </row>
    <row r="2" spans="1:10" s="265" customFormat="1" ht="15.6">
      <c r="A2" s="266" t="s">
        <v>598</v>
      </c>
    </row>
    <row r="3" spans="1:10" s="265" customFormat="1" ht="15.6">
      <c r="A3" s="266" t="s">
        <v>599</v>
      </c>
      <c r="B3" s="267"/>
      <c r="C3" s="267"/>
      <c r="D3" s="267"/>
      <c r="E3" s="267"/>
      <c r="F3" s="267"/>
      <c r="G3" s="267"/>
      <c r="H3" s="267"/>
      <c r="I3" s="267"/>
      <c r="J3" s="267"/>
    </row>
    <row r="4" spans="1:10" s="265" customFormat="1" ht="15.6">
      <c r="A4" s="268" t="s">
        <v>600</v>
      </c>
    </row>
    <row r="5" spans="1:10" s="265" customFormat="1" ht="15.6">
      <c r="A5" s="268"/>
    </row>
    <row r="6" spans="1:10" s="265" customFormat="1" ht="15.6">
      <c r="A6" s="268" t="s">
        <v>601</v>
      </c>
    </row>
    <row r="7" spans="1:10" s="265" customFormat="1" ht="16.2" thickBot="1">
      <c r="A7" s="268"/>
    </row>
    <row r="8" spans="1:10" s="265" customFormat="1" ht="46.5" customHeight="1" thickBot="1">
      <c r="A8" s="310" t="s">
        <v>374</v>
      </c>
      <c r="B8" s="311" t="s">
        <v>602</v>
      </c>
      <c r="C8" s="311" t="s">
        <v>603</v>
      </c>
      <c r="D8" s="311" t="s">
        <v>604</v>
      </c>
    </row>
    <row r="9" spans="1:10" s="265" customFormat="1" ht="16.2" thickBot="1">
      <c r="A9" s="312">
        <v>1</v>
      </c>
      <c r="B9" s="313">
        <v>162000</v>
      </c>
      <c r="C9" s="313">
        <v>17010</v>
      </c>
      <c r="D9" s="313">
        <v>72900</v>
      </c>
    </row>
    <row r="10" spans="1:10" s="265" customFormat="1" ht="16.2" thickBot="1">
      <c r="A10" s="312">
        <v>2</v>
      </c>
      <c r="B10" s="313">
        <v>144000</v>
      </c>
      <c r="C10" s="313">
        <v>15120</v>
      </c>
      <c r="D10" s="313">
        <v>7200</v>
      </c>
    </row>
    <row r="11" spans="1:10" s="265" customFormat="1" ht="16.2" thickBot="1">
      <c r="A11" s="312">
        <v>3</v>
      </c>
      <c r="B11" s="313">
        <v>126000</v>
      </c>
      <c r="C11" s="313">
        <v>13230</v>
      </c>
      <c r="D11" s="313">
        <v>6300</v>
      </c>
    </row>
    <row r="12" spans="1:10" s="265" customFormat="1" ht="16.2" thickBot="1">
      <c r="A12" s="312">
        <v>4</v>
      </c>
      <c r="B12" s="313">
        <v>108000</v>
      </c>
      <c r="C12" s="313">
        <v>17280</v>
      </c>
      <c r="D12" s="313">
        <v>5400</v>
      </c>
    </row>
    <row r="13" spans="1:10" s="265" customFormat="1" ht="16.2" thickBot="1">
      <c r="A13" s="312">
        <v>5</v>
      </c>
      <c r="B13" s="313">
        <v>90000</v>
      </c>
      <c r="C13" s="313">
        <v>14400</v>
      </c>
      <c r="D13" s="313">
        <v>4500</v>
      </c>
    </row>
    <row r="14" spans="1:10" s="265" customFormat="1" ht="16.2" thickBot="1">
      <c r="A14" s="312">
        <v>6</v>
      </c>
      <c r="B14" s="313">
        <v>72000</v>
      </c>
      <c r="C14" s="313">
        <v>15480</v>
      </c>
      <c r="D14" s="313">
        <v>3600</v>
      </c>
    </row>
    <row r="15" spans="1:10" s="265" customFormat="1" ht="16.2" thickBot="1">
      <c r="A15" s="312">
        <v>7</v>
      </c>
      <c r="B15" s="313">
        <v>54000</v>
      </c>
      <c r="C15" s="313">
        <v>11610</v>
      </c>
      <c r="D15" s="313">
        <v>2700</v>
      </c>
    </row>
    <row r="16" spans="1:10" s="265" customFormat="1" ht="16.2" thickBot="1">
      <c r="A16" s="312">
        <v>8</v>
      </c>
      <c r="B16" s="313">
        <v>36000</v>
      </c>
      <c r="C16" s="313">
        <v>7740</v>
      </c>
      <c r="D16" s="313">
        <v>1800</v>
      </c>
    </row>
    <row r="17" spans="1:1" s="265" customFormat="1" ht="15.6">
      <c r="A17" s="268"/>
    </row>
    <row r="18" spans="1:1" s="265" customFormat="1" ht="15.6">
      <c r="A18" s="268" t="s">
        <v>68</v>
      </c>
    </row>
    <row r="19" spans="1:1" s="265" customFormat="1" ht="15.6">
      <c r="A19" s="314" t="s">
        <v>768</v>
      </c>
    </row>
    <row r="20" spans="1:1" s="265" customFormat="1" ht="15.6">
      <c r="A20" s="314" t="s">
        <v>769</v>
      </c>
    </row>
    <row r="21" spans="1:1" s="265" customFormat="1" ht="15.6">
      <c r="A21" s="314" t="s">
        <v>770</v>
      </c>
    </row>
    <row r="22" spans="1:1" s="265" customFormat="1" ht="15.6">
      <c r="A22" s="315"/>
    </row>
    <row r="23" spans="1:1" s="265" customFormat="1" ht="15.6">
      <c r="A23" s="315" t="s">
        <v>771</v>
      </c>
    </row>
    <row r="24" spans="1:1" s="265" customFormat="1" ht="15.6">
      <c r="A24" s="315"/>
    </row>
    <row r="25" spans="1:1" s="265" customFormat="1" ht="15.6">
      <c r="A25" s="317" t="s">
        <v>774</v>
      </c>
    </row>
    <row r="26" spans="1:1" ht="15.6">
      <c r="A26" s="318" t="s">
        <v>24</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0FBA5-4855-4CA7-8B30-29FABAED85EC}">
  <sheetPr>
    <tabColor rgb="FFFF0000"/>
  </sheetPr>
  <dimension ref="A1:J26"/>
  <sheetViews>
    <sheetView workbookViewId="0"/>
  </sheetViews>
  <sheetFormatPr defaultColWidth="8.77734375" defaultRowHeight="14.4"/>
  <cols>
    <col min="1" max="1" width="8.77734375" style="274"/>
    <col min="2" max="2" width="22.44140625" style="274" customWidth="1"/>
    <col min="3" max="3" width="17.77734375" style="274" customWidth="1"/>
    <col min="4" max="4" width="14.21875" style="274" customWidth="1"/>
    <col min="5" max="16384" width="8.77734375" style="274"/>
  </cols>
  <sheetData>
    <row r="1" spans="1:10" s="265" customFormat="1" ht="17.399999999999999">
      <c r="A1" s="264" t="s">
        <v>597</v>
      </c>
    </row>
    <row r="2" spans="1:10" s="265" customFormat="1" ht="15.6">
      <c r="A2" s="266" t="s">
        <v>598</v>
      </c>
    </row>
    <row r="3" spans="1:10" s="265" customFormat="1" ht="15.6">
      <c r="A3" s="266" t="s">
        <v>599</v>
      </c>
      <c r="B3" s="267"/>
      <c r="C3" s="267"/>
      <c r="D3" s="267"/>
      <c r="E3" s="267"/>
      <c r="F3" s="267"/>
      <c r="G3" s="267"/>
      <c r="H3" s="267"/>
      <c r="I3" s="267"/>
      <c r="J3" s="267"/>
    </row>
    <row r="4" spans="1:10" s="265" customFormat="1" ht="15.6">
      <c r="A4" s="268" t="s">
        <v>600</v>
      </c>
    </row>
    <row r="5" spans="1:10" s="265" customFormat="1" ht="15.6">
      <c r="A5" s="268"/>
    </row>
    <row r="6" spans="1:10" s="265" customFormat="1" ht="15.6">
      <c r="A6" s="268" t="s">
        <v>601</v>
      </c>
    </row>
    <row r="7" spans="1:10" s="265" customFormat="1" ht="16.2" thickBot="1">
      <c r="A7" s="268"/>
    </row>
    <row r="8" spans="1:10" s="265" customFormat="1" ht="46.5" customHeight="1" thickBot="1">
      <c r="A8" s="310" t="s">
        <v>374</v>
      </c>
      <c r="B8" s="311" t="s">
        <v>602</v>
      </c>
      <c r="C8" s="311" t="s">
        <v>603</v>
      </c>
      <c r="D8" s="311" t="s">
        <v>604</v>
      </c>
    </row>
    <row r="9" spans="1:10" s="265" customFormat="1" ht="16.2" thickBot="1">
      <c r="A9" s="312">
        <v>1</v>
      </c>
      <c r="B9" s="313">
        <v>162000</v>
      </c>
      <c r="C9" s="313">
        <v>17010</v>
      </c>
      <c r="D9" s="313">
        <v>72900</v>
      </c>
    </row>
    <row r="10" spans="1:10" s="265" customFormat="1" ht="16.2" thickBot="1">
      <c r="A10" s="312">
        <v>2</v>
      </c>
      <c r="B10" s="313">
        <v>144000</v>
      </c>
      <c r="C10" s="313">
        <v>15120</v>
      </c>
      <c r="D10" s="313">
        <v>7200</v>
      </c>
    </row>
    <row r="11" spans="1:10" s="265" customFormat="1" ht="16.2" thickBot="1">
      <c r="A11" s="312">
        <v>3</v>
      </c>
      <c r="B11" s="313">
        <v>126000</v>
      </c>
      <c r="C11" s="313">
        <v>13230</v>
      </c>
      <c r="D11" s="313">
        <v>6300</v>
      </c>
    </row>
    <row r="12" spans="1:10" s="265" customFormat="1" ht="16.2" thickBot="1">
      <c r="A12" s="312">
        <v>4</v>
      </c>
      <c r="B12" s="313">
        <v>108000</v>
      </c>
      <c r="C12" s="313">
        <v>17280</v>
      </c>
      <c r="D12" s="313">
        <v>5400</v>
      </c>
    </row>
    <row r="13" spans="1:10" s="265" customFormat="1" ht="16.2" thickBot="1">
      <c r="A13" s="312">
        <v>5</v>
      </c>
      <c r="B13" s="313">
        <v>90000</v>
      </c>
      <c r="C13" s="313">
        <v>14400</v>
      </c>
      <c r="D13" s="313">
        <v>4500</v>
      </c>
    </row>
    <row r="14" spans="1:10" s="265" customFormat="1" ht="16.2" thickBot="1">
      <c r="A14" s="312">
        <v>6</v>
      </c>
      <c r="B14" s="313">
        <v>72000</v>
      </c>
      <c r="C14" s="313">
        <v>15480</v>
      </c>
      <c r="D14" s="313">
        <v>3600</v>
      </c>
    </row>
    <row r="15" spans="1:10" s="265" customFormat="1" ht="16.2" thickBot="1">
      <c r="A15" s="312">
        <v>7</v>
      </c>
      <c r="B15" s="313">
        <v>54000</v>
      </c>
      <c r="C15" s="313">
        <v>11610</v>
      </c>
      <c r="D15" s="313">
        <v>2700</v>
      </c>
    </row>
    <row r="16" spans="1:10" s="265" customFormat="1" ht="16.2" thickBot="1">
      <c r="A16" s="312">
        <v>8</v>
      </c>
      <c r="B16" s="313">
        <v>36000</v>
      </c>
      <c r="C16" s="313">
        <v>7740</v>
      </c>
      <c r="D16" s="313">
        <v>1800</v>
      </c>
    </row>
    <row r="17" spans="1:1" s="265" customFormat="1" ht="15.6">
      <c r="A17" s="268"/>
    </row>
    <row r="18" spans="1:1" s="265" customFormat="1" ht="15.6">
      <c r="A18" s="268" t="s">
        <v>68</v>
      </c>
    </row>
    <row r="19" spans="1:1" s="265" customFormat="1" ht="15.6">
      <c r="A19" s="314" t="s">
        <v>768</v>
      </c>
    </row>
    <row r="20" spans="1:1" s="265" customFormat="1" ht="15.6">
      <c r="A20" s="314" t="s">
        <v>769</v>
      </c>
    </row>
    <row r="21" spans="1:1" s="265" customFormat="1" ht="15.6">
      <c r="A21" s="314" t="s">
        <v>770</v>
      </c>
    </row>
    <row r="22" spans="1:1" s="265" customFormat="1" ht="15.6">
      <c r="A22" s="315"/>
    </row>
    <row r="23" spans="1:1" s="265" customFormat="1" ht="15.6">
      <c r="A23" s="315" t="s">
        <v>771</v>
      </c>
    </row>
    <row r="24" spans="1:1" s="265" customFormat="1" ht="15.6">
      <c r="A24" s="315"/>
    </row>
    <row r="25" spans="1:1" s="265" customFormat="1" ht="15.6">
      <c r="A25" s="315" t="s">
        <v>773</v>
      </c>
    </row>
    <row r="26" spans="1:1">
      <c r="A26" s="274" t="s">
        <v>24</v>
      </c>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D3F8E-94C8-4208-B269-74328A9EF9AB}">
  <sheetPr>
    <tabColor rgb="FFFF0000"/>
  </sheetPr>
  <dimension ref="A1:J26"/>
  <sheetViews>
    <sheetView topLeftCell="A20" workbookViewId="0">
      <selection activeCell="A20" sqref="A20"/>
    </sheetView>
  </sheetViews>
  <sheetFormatPr defaultColWidth="8.77734375" defaultRowHeight="14.4"/>
  <cols>
    <col min="1" max="1" width="8.77734375" style="274"/>
    <col min="2" max="2" width="22.44140625" style="274" customWidth="1"/>
    <col min="3" max="3" width="17.77734375" style="274" customWidth="1"/>
    <col min="4" max="4" width="14.21875" style="274" customWidth="1"/>
    <col min="5" max="16384" width="8.77734375" style="274"/>
  </cols>
  <sheetData>
    <row r="1" spans="1:10" s="265" customFormat="1" ht="17.399999999999999">
      <c r="A1" s="264" t="s">
        <v>597</v>
      </c>
    </row>
    <row r="2" spans="1:10" s="265" customFormat="1" ht="15.6">
      <c r="A2" s="266" t="s">
        <v>598</v>
      </c>
    </row>
    <row r="3" spans="1:10" s="265" customFormat="1" ht="15.6">
      <c r="A3" s="266" t="s">
        <v>599</v>
      </c>
      <c r="B3" s="267"/>
      <c r="C3" s="267"/>
      <c r="D3" s="267"/>
      <c r="E3" s="267"/>
      <c r="F3" s="267"/>
      <c r="G3" s="267"/>
      <c r="H3" s="267"/>
      <c r="I3" s="267"/>
      <c r="J3" s="267"/>
    </row>
    <row r="4" spans="1:10" s="265" customFormat="1" ht="15.6">
      <c r="A4" s="268" t="s">
        <v>600</v>
      </c>
    </row>
    <row r="5" spans="1:10" s="265" customFormat="1" ht="15.6">
      <c r="A5" s="268"/>
    </row>
    <row r="6" spans="1:10" s="265" customFormat="1" ht="15.6">
      <c r="A6" s="268" t="s">
        <v>601</v>
      </c>
    </row>
    <row r="7" spans="1:10" s="265" customFormat="1" ht="16.2" thickBot="1">
      <c r="A7" s="268"/>
    </row>
    <row r="8" spans="1:10" s="265" customFormat="1" ht="46.5" customHeight="1" thickBot="1">
      <c r="A8" s="310" t="s">
        <v>374</v>
      </c>
      <c r="B8" s="311" t="s">
        <v>602</v>
      </c>
      <c r="C8" s="311" t="s">
        <v>603</v>
      </c>
      <c r="D8" s="311" t="s">
        <v>604</v>
      </c>
    </row>
    <row r="9" spans="1:10" s="265" customFormat="1" ht="16.2" thickBot="1">
      <c r="A9" s="312">
        <v>1</v>
      </c>
      <c r="B9" s="313">
        <v>162000</v>
      </c>
      <c r="C9" s="313">
        <v>17010</v>
      </c>
      <c r="D9" s="313">
        <v>72900</v>
      </c>
    </row>
    <row r="10" spans="1:10" s="265" customFormat="1" ht="16.2" thickBot="1">
      <c r="A10" s="312">
        <v>2</v>
      </c>
      <c r="B10" s="313">
        <v>144000</v>
      </c>
      <c r="C10" s="313">
        <v>15120</v>
      </c>
      <c r="D10" s="313">
        <v>7200</v>
      </c>
    </row>
    <row r="11" spans="1:10" s="265" customFormat="1" ht="16.2" thickBot="1">
      <c r="A11" s="312">
        <v>3</v>
      </c>
      <c r="B11" s="313">
        <v>126000</v>
      </c>
      <c r="C11" s="313">
        <v>13230</v>
      </c>
      <c r="D11" s="313">
        <v>6300</v>
      </c>
    </row>
    <row r="12" spans="1:10" s="265" customFormat="1" ht="16.2" thickBot="1">
      <c r="A12" s="312">
        <v>4</v>
      </c>
      <c r="B12" s="313">
        <v>108000</v>
      </c>
      <c r="C12" s="313">
        <v>17280</v>
      </c>
      <c r="D12" s="313">
        <v>5400</v>
      </c>
    </row>
    <row r="13" spans="1:10" s="265" customFormat="1" ht="16.2" thickBot="1">
      <c r="A13" s="312">
        <v>5</v>
      </c>
      <c r="B13" s="313">
        <v>90000</v>
      </c>
      <c r="C13" s="313">
        <v>14400</v>
      </c>
      <c r="D13" s="313">
        <v>4500</v>
      </c>
    </row>
    <row r="14" spans="1:10" s="265" customFormat="1" ht="16.2" thickBot="1">
      <c r="A14" s="312">
        <v>6</v>
      </c>
      <c r="B14" s="313">
        <v>72000</v>
      </c>
      <c r="C14" s="313">
        <v>15480</v>
      </c>
      <c r="D14" s="313">
        <v>3600</v>
      </c>
    </row>
    <row r="15" spans="1:10" s="265" customFormat="1" ht="16.2" thickBot="1">
      <c r="A15" s="312">
        <v>7</v>
      </c>
      <c r="B15" s="313">
        <v>54000</v>
      </c>
      <c r="C15" s="313">
        <v>11610</v>
      </c>
      <c r="D15" s="313">
        <v>2700</v>
      </c>
    </row>
    <row r="16" spans="1:10" s="265" customFormat="1" ht="16.2" thickBot="1">
      <c r="A16" s="312">
        <v>8</v>
      </c>
      <c r="B16" s="313">
        <v>36000</v>
      </c>
      <c r="C16" s="313">
        <v>7740</v>
      </c>
      <c r="D16" s="313">
        <v>1800</v>
      </c>
    </row>
    <row r="17" spans="1:1" s="265" customFormat="1" ht="15.6">
      <c r="A17" s="268"/>
    </row>
    <row r="18" spans="1:1" s="265" customFormat="1" ht="15.6">
      <c r="A18" s="268" t="s">
        <v>68</v>
      </c>
    </row>
    <row r="19" spans="1:1" s="265" customFormat="1" ht="15.6">
      <c r="A19" s="314" t="s">
        <v>768</v>
      </c>
    </row>
    <row r="20" spans="1:1" s="265" customFormat="1" ht="15.6">
      <c r="A20" s="314" t="s">
        <v>769</v>
      </c>
    </row>
    <row r="21" spans="1:1" s="265" customFormat="1" ht="15.6">
      <c r="A21" s="314" t="s">
        <v>770</v>
      </c>
    </row>
    <row r="22" spans="1:1" s="265" customFormat="1" ht="15.6">
      <c r="A22" s="315"/>
    </row>
    <row r="23" spans="1:1" s="265" customFormat="1" ht="15.6">
      <c r="A23" s="315" t="s">
        <v>771</v>
      </c>
    </row>
    <row r="24" spans="1:1" s="265" customFormat="1" ht="15.6">
      <c r="A24" s="315"/>
    </row>
    <row r="25" spans="1:1" s="265" customFormat="1" ht="15.6">
      <c r="A25" s="316" t="s">
        <v>772</v>
      </c>
    </row>
    <row r="26" spans="1:1">
      <c r="A26" s="274" t="s">
        <v>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1EFE4-EE7D-48B5-9B94-0AE734D0DC0F}">
  <dimension ref="A1:AD47"/>
  <sheetViews>
    <sheetView workbookViewId="0">
      <selection activeCell="A5" sqref="A5"/>
    </sheetView>
  </sheetViews>
  <sheetFormatPr defaultColWidth="8.77734375" defaultRowHeight="14.4"/>
  <cols>
    <col min="1" max="1" width="8.77734375" style="1003"/>
    <col min="2" max="2" width="40" style="1003" customWidth="1"/>
    <col min="3" max="4" width="14.21875" style="1003" bestFit="1" customWidth="1"/>
    <col min="5" max="9" width="8.77734375" style="1003"/>
    <col min="10" max="10" width="12" style="1003" customWidth="1"/>
    <col min="11" max="16384" width="8.77734375" style="1003"/>
  </cols>
  <sheetData>
    <row r="1" spans="1:30" ht="26.7" customHeight="1">
      <c r="A1" s="1053" t="s">
        <v>1783</v>
      </c>
      <c r="B1" s="1053"/>
      <c r="C1" s="1053"/>
      <c r="D1" s="1053"/>
      <c r="E1" s="1053"/>
      <c r="F1" s="1053"/>
      <c r="G1" s="1053"/>
      <c r="H1" s="1053"/>
      <c r="I1" s="1053"/>
      <c r="J1" s="1053"/>
      <c r="K1" s="1053"/>
      <c r="L1" s="1053"/>
      <c r="M1" s="1053"/>
      <c r="N1" s="1053"/>
      <c r="O1" s="1053"/>
      <c r="P1" s="1053"/>
      <c r="Q1" s="1053"/>
      <c r="R1" s="1053"/>
      <c r="S1" s="1053"/>
      <c r="T1" s="1053"/>
      <c r="U1" s="1053"/>
      <c r="V1" s="1053"/>
      <c r="W1" s="1053"/>
      <c r="X1" s="1053"/>
      <c r="Y1" s="1053"/>
      <c r="Z1" s="1053"/>
      <c r="AA1" s="1053"/>
      <c r="AB1" s="1053"/>
      <c r="AC1" s="1053"/>
      <c r="AD1" s="1053"/>
    </row>
    <row r="3" spans="1:30">
      <c r="A3" s="1011"/>
      <c r="B3" s="1003" t="s">
        <v>199</v>
      </c>
      <c r="C3" s="1012">
        <v>100000</v>
      </c>
    </row>
    <row r="4" spans="1:30">
      <c r="A4" s="1011"/>
      <c r="B4" s="1003" t="s">
        <v>1782</v>
      </c>
      <c r="C4" s="1009">
        <v>0.08</v>
      </c>
      <c r="D4" s="1010" t="s">
        <v>1781</v>
      </c>
    </row>
    <row r="5" spans="1:30">
      <c r="B5" s="1003" t="s">
        <v>1780</v>
      </c>
      <c r="C5" s="1009">
        <v>0.06</v>
      </c>
    </row>
    <row r="6" spans="1:30">
      <c r="B6" s="1003" t="s">
        <v>1779</v>
      </c>
      <c r="C6" s="1009">
        <v>0.03</v>
      </c>
    </row>
    <row r="7" spans="1:30">
      <c r="C7" s="1009"/>
    </row>
    <row r="8" spans="1:30">
      <c r="B8" s="1003" t="s">
        <v>1778</v>
      </c>
    </row>
    <row r="9" spans="1:30">
      <c r="B9" s="1008" t="s">
        <v>1777</v>
      </c>
      <c r="C9" s="1007">
        <v>7.0000000000000007E-2</v>
      </c>
    </row>
    <row r="10" spans="1:30">
      <c r="B10" s="1008" t="s">
        <v>1776</v>
      </c>
      <c r="C10" s="1007">
        <f t="shared" ref="C10:C15" si="0">C9-1%</f>
        <v>6.0000000000000005E-2</v>
      </c>
    </row>
    <row r="11" spans="1:30">
      <c r="B11" s="1008" t="s">
        <v>1775</v>
      </c>
      <c r="C11" s="1007">
        <f t="shared" si="0"/>
        <v>0.05</v>
      </c>
    </row>
    <row r="12" spans="1:30">
      <c r="B12" s="1008" t="s">
        <v>1774</v>
      </c>
      <c r="C12" s="1007">
        <f t="shared" si="0"/>
        <v>0.04</v>
      </c>
    </row>
    <row r="13" spans="1:30">
      <c r="B13" s="1008" t="s">
        <v>1773</v>
      </c>
      <c r="C13" s="1007">
        <f t="shared" si="0"/>
        <v>0.03</v>
      </c>
    </row>
    <row r="14" spans="1:30">
      <c r="B14" s="1008" t="s">
        <v>1772</v>
      </c>
      <c r="C14" s="1007">
        <f t="shared" si="0"/>
        <v>1.9999999999999997E-2</v>
      </c>
    </row>
    <row r="15" spans="1:30">
      <c r="B15" s="1008" t="s">
        <v>1771</v>
      </c>
      <c r="C15" s="1007">
        <f t="shared" si="0"/>
        <v>9.9999999999999967E-3</v>
      </c>
    </row>
    <row r="16" spans="1:30">
      <c r="B16" s="1008" t="s">
        <v>1770</v>
      </c>
      <c r="C16" s="1007">
        <v>0</v>
      </c>
    </row>
    <row r="18" spans="2:3">
      <c r="B18" s="1008" t="s">
        <v>1769</v>
      </c>
      <c r="C18" s="1007">
        <v>4.4999999999999998E-2</v>
      </c>
    </row>
    <row r="21" spans="2:3">
      <c r="B21" s="1003" t="s">
        <v>1768</v>
      </c>
    </row>
    <row r="23" spans="2:3">
      <c r="B23" s="1006" t="s">
        <v>1767</v>
      </c>
    </row>
    <row r="24" spans="2:3">
      <c r="B24" s="1003">
        <v>1</v>
      </c>
      <c r="C24" s="1005">
        <f>C3*(1+C5)*(1-C9)</f>
        <v>98580</v>
      </c>
    </row>
    <row r="25" spans="2:3">
      <c r="B25" s="1003">
        <v>2</v>
      </c>
      <c r="C25" s="1005">
        <f>C3*(1+C5)*(1+C5)*(1-C10)</f>
        <v>105618.4</v>
      </c>
    </row>
    <row r="26" spans="2:3">
      <c r="B26" s="1003">
        <v>3</v>
      </c>
      <c r="C26" s="1005">
        <f>C3*(1+C5)*(1+C5)*(1+C5)*(1-C11)</f>
        <v>113146.52</v>
      </c>
    </row>
    <row r="27" spans="2:3">
      <c r="B27" s="1003">
        <v>4</v>
      </c>
      <c r="C27" s="1005">
        <f>C3*(1+C5)*(1+C5)*(1+C5)*(1+C5)*(1-C12)</f>
        <v>121197.78816000001</v>
      </c>
    </row>
    <row r="28" spans="2:3">
      <c r="B28" s="1003">
        <v>5</v>
      </c>
      <c r="C28" s="1005">
        <f>C3*(1+C5)*(1+C5)*(1+C5)*(1+C5)*(1+C6)*(1-C13)</f>
        <v>126134.07307360001</v>
      </c>
    </row>
    <row r="29" spans="2:3">
      <c r="B29" s="1003">
        <v>6</v>
      </c>
      <c r="C29" s="1005">
        <f>C3*(1+C5)*(1+C5)*(1+C5)*(1+C5)*(1+C6)*(1+C6)*(1-C14)</f>
        <v>131257.457072672</v>
      </c>
    </row>
    <row r="30" spans="2:3">
      <c r="B30" s="1003">
        <v>7</v>
      </c>
      <c r="C30" s="1005">
        <f>C3*(1+C5)*(1+C5)*(1+C5)*(1+C5)*(1+C6)*(1+C6)*(1+C6)*(1-C15)</f>
        <v>136574.72344592208</v>
      </c>
    </row>
    <row r="31" spans="2:3">
      <c r="B31" s="1003">
        <v>8</v>
      </c>
      <c r="C31" s="1005">
        <f>C3*(1+C5)*(1+C5)*(1+C5)*(1+C5)*(1+C6)*(1+C6)*(1+C6)*(1+C6)*(1-C16)</f>
        <v>142092.89409020176</v>
      </c>
    </row>
    <row r="34" spans="2:10" ht="19.5" customHeight="1">
      <c r="B34" s="1053" t="s">
        <v>1766</v>
      </c>
      <c r="C34" s="1053"/>
      <c r="D34" s="1053"/>
      <c r="E34" s="1053"/>
      <c r="F34" s="1053"/>
      <c r="G34" s="1053"/>
      <c r="H34" s="1053"/>
      <c r="I34" s="1053"/>
      <c r="J34" s="1053"/>
    </row>
    <row r="35" spans="2:10">
      <c r="C35" s="1003" t="s">
        <v>1765</v>
      </c>
    </row>
    <row r="36" spans="2:10">
      <c r="B36" s="1003" t="s">
        <v>1448</v>
      </c>
    </row>
    <row r="37" spans="2:10">
      <c r="B37" s="1003">
        <v>1</v>
      </c>
      <c r="C37" s="1004">
        <f t="shared" ref="C37:C44" si="1">C24/((1+$C$18)^B37)</f>
        <v>94334.928229665078</v>
      </c>
    </row>
    <row r="38" spans="2:10">
      <c r="B38" s="1003">
        <v>2</v>
      </c>
      <c r="C38" s="1004">
        <f t="shared" si="1"/>
        <v>96717.932281770118</v>
      </c>
    </row>
    <row r="39" spans="2:10">
      <c r="B39" s="1003">
        <v>3</v>
      </c>
      <c r="C39" s="1004">
        <f t="shared" si="1"/>
        <v>99149.911236630884</v>
      </c>
    </row>
    <row r="40" spans="2:10">
      <c r="B40" s="1003">
        <v>4</v>
      </c>
      <c r="C40" s="1004">
        <f t="shared" si="1"/>
        <v>101631.78007997545</v>
      </c>
    </row>
    <row r="41" spans="2:10">
      <c r="B41" s="1003">
        <v>5</v>
      </c>
      <c r="C41" s="1004">
        <f t="shared" si="1"/>
        <v>101216.41893730409</v>
      </c>
    </row>
    <row r="42" spans="2:10">
      <c r="B42" s="1003">
        <v>6</v>
      </c>
      <c r="C42" s="1004">
        <f t="shared" si="1"/>
        <v>100792.04190333425</v>
      </c>
    </row>
    <row r="43" spans="2:10">
      <c r="B43" s="1003">
        <v>7</v>
      </c>
      <c r="C43" s="1004">
        <f t="shared" si="1"/>
        <v>100358.99338817492</v>
      </c>
    </row>
    <row r="44" spans="2:10">
      <c r="B44" s="1003">
        <v>8</v>
      </c>
      <c r="C44" s="1004">
        <f t="shared" si="1"/>
        <v>99917.609772191005</v>
      </c>
    </row>
    <row r="46" spans="2:10">
      <c r="B46" s="1003" t="s">
        <v>1764</v>
      </c>
    </row>
    <row r="47" spans="2:10">
      <c r="B47" s="1004">
        <f>MAX(C37:C44)</f>
        <v>101631.78007997545</v>
      </c>
    </row>
  </sheetData>
  <mergeCells count="2">
    <mergeCell ref="A1:AD1"/>
    <mergeCell ref="B34:J34"/>
  </mergeCells>
  <pageMargins left="0.7" right="0.7" top="0.75" bottom="0.75" header="0.3" footer="0.3"/>
  <pageSetup orientation="portrait" r:id="rId1"/>
  <headerFooter>
    <oddFooter>&amp;C_x000D_&amp;1#&amp;"Calibri"&amp;10&amp;K000000 CONFIDENTIAL</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33FD9-5285-4224-B3F7-4B06B89BF1B5}">
  <sheetPr>
    <tabColor rgb="FFFF0000"/>
  </sheetPr>
  <dimension ref="A1:U85"/>
  <sheetViews>
    <sheetView zoomScale="110" zoomScaleNormal="110" workbookViewId="0"/>
  </sheetViews>
  <sheetFormatPr defaultColWidth="10.5546875" defaultRowHeight="13.8"/>
  <cols>
    <col min="1" max="12" width="10.5546875" style="276"/>
    <col min="13" max="13" width="12.44140625" style="276" bestFit="1" customWidth="1"/>
    <col min="14" max="16384" width="10.5546875" style="276"/>
  </cols>
  <sheetData>
    <row r="1" spans="1:11" ht="14.4">
      <c r="A1" s="275" t="s">
        <v>659</v>
      </c>
      <c r="B1" s="274"/>
      <c r="C1" s="274"/>
    </row>
    <row r="2" spans="1:11" ht="14.4">
      <c r="A2" s="274"/>
      <c r="B2" s="274"/>
      <c r="C2" s="274"/>
    </row>
    <row r="3" spans="1:11" ht="15.6">
      <c r="A3" s="277" t="s">
        <v>660</v>
      </c>
      <c r="B3" s="278" t="s">
        <v>661</v>
      </c>
      <c r="C3" s="274"/>
    </row>
    <row r="5" spans="1:11" ht="55.2">
      <c r="B5" s="279"/>
      <c r="C5" s="280" t="s">
        <v>602</v>
      </c>
      <c r="D5" s="280" t="s">
        <v>603</v>
      </c>
      <c r="E5" s="280" t="s">
        <v>604</v>
      </c>
      <c r="F5" s="281"/>
      <c r="G5" s="281"/>
      <c r="J5" s="281"/>
      <c r="K5" s="281"/>
    </row>
    <row r="6" spans="1:11">
      <c r="B6" s="279" t="s">
        <v>3</v>
      </c>
      <c r="C6" s="282">
        <v>162000</v>
      </c>
      <c r="D6" s="282">
        <v>17010</v>
      </c>
      <c r="E6" s="282">
        <f>0.9*C6/2</f>
        <v>72900</v>
      </c>
      <c r="F6" s="283"/>
      <c r="G6" s="284"/>
      <c r="J6" s="283"/>
      <c r="K6" s="283"/>
    </row>
    <row r="7" spans="1:11">
      <c r="B7" s="279" t="s">
        <v>79</v>
      </c>
      <c r="C7" s="282">
        <v>144000</v>
      </c>
      <c r="D7" s="282">
        <v>15120</v>
      </c>
      <c r="E7" s="282">
        <f t="shared" ref="E7:E13" si="0">0.1*C7/2</f>
        <v>7200</v>
      </c>
      <c r="F7" s="283"/>
      <c r="G7" s="284"/>
      <c r="J7" s="283"/>
      <c r="K7" s="283"/>
    </row>
    <row r="8" spans="1:11">
      <c r="B8" s="279" t="s">
        <v>80</v>
      </c>
      <c r="C8" s="282">
        <v>126000</v>
      </c>
      <c r="D8" s="282">
        <v>13230</v>
      </c>
      <c r="E8" s="282">
        <f t="shared" si="0"/>
        <v>6300</v>
      </c>
      <c r="F8" s="283"/>
      <c r="G8" s="284"/>
      <c r="J8" s="283"/>
      <c r="K8" s="283"/>
    </row>
    <row r="9" spans="1:11">
      <c r="B9" s="279" t="s">
        <v>137</v>
      </c>
      <c r="C9" s="282">
        <v>108000</v>
      </c>
      <c r="D9" s="282">
        <v>17280</v>
      </c>
      <c r="E9" s="282">
        <f t="shared" si="0"/>
        <v>5400</v>
      </c>
      <c r="F9" s="283"/>
      <c r="G9" s="284"/>
      <c r="J9" s="283"/>
      <c r="K9" s="283"/>
    </row>
    <row r="10" spans="1:11">
      <c r="B10" s="279" t="s">
        <v>138</v>
      </c>
      <c r="C10" s="282">
        <v>90000</v>
      </c>
      <c r="D10" s="282">
        <v>14400</v>
      </c>
      <c r="E10" s="282">
        <f t="shared" si="0"/>
        <v>4500</v>
      </c>
      <c r="F10" s="283"/>
      <c r="G10" s="284"/>
      <c r="J10" s="283"/>
      <c r="K10" s="283"/>
    </row>
    <row r="11" spans="1:11">
      <c r="B11" s="279" t="s">
        <v>662</v>
      </c>
      <c r="C11" s="282">
        <v>72000</v>
      </c>
      <c r="D11" s="282">
        <v>15480</v>
      </c>
      <c r="E11" s="282">
        <f t="shared" si="0"/>
        <v>3600</v>
      </c>
      <c r="F11" s="283"/>
      <c r="G11" s="284"/>
      <c r="J11" s="283"/>
      <c r="K11" s="283"/>
    </row>
    <row r="12" spans="1:11">
      <c r="B12" s="279" t="s">
        <v>663</v>
      </c>
      <c r="C12" s="282">
        <v>54000</v>
      </c>
      <c r="D12" s="282">
        <v>11610</v>
      </c>
      <c r="E12" s="282">
        <f t="shared" si="0"/>
        <v>2700</v>
      </c>
      <c r="F12" s="283"/>
      <c r="G12" s="284"/>
      <c r="J12" s="283"/>
      <c r="K12" s="283"/>
    </row>
    <row r="13" spans="1:11">
      <c r="B13" s="279" t="s">
        <v>664</v>
      </c>
      <c r="C13" s="282">
        <v>36000</v>
      </c>
      <c r="D13" s="282">
        <v>7740</v>
      </c>
      <c r="E13" s="282">
        <f t="shared" si="0"/>
        <v>1800</v>
      </c>
      <c r="F13" s="283"/>
      <c r="G13" s="284"/>
      <c r="J13" s="283"/>
      <c r="K13" s="283"/>
    </row>
    <row r="15" spans="1:11" ht="14.4">
      <c r="A15" s="285" t="s">
        <v>665</v>
      </c>
    </row>
    <row r="16" spans="1:11" ht="15.6">
      <c r="A16" s="285"/>
      <c r="B16" s="286" t="s">
        <v>666</v>
      </c>
    </row>
    <row r="17" spans="1:21" ht="15.6">
      <c r="A17" s="285"/>
      <c r="B17" s="287" t="s">
        <v>667</v>
      </c>
    </row>
    <row r="18" spans="1:21" ht="15.6">
      <c r="A18" s="285"/>
      <c r="B18" s="287" t="s">
        <v>668</v>
      </c>
    </row>
    <row r="19" spans="1:21" ht="15.6">
      <c r="B19" s="287" t="s">
        <v>669</v>
      </c>
    </row>
    <row r="20" spans="1:21" ht="15.6">
      <c r="B20" s="287"/>
    </row>
    <row r="21" spans="1:21">
      <c r="B21" s="276" t="s">
        <v>670</v>
      </c>
      <c r="D21" s="288">
        <v>6.7500000000000004E-2</v>
      </c>
    </row>
    <row r="22" spans="1:21">
      <c r="B22" s="276" t="s">
        <v>671</v>
      </c>
      <c r="D22" s="288">
        <f>D21/2</f>
        <v>3.3750000000000002E-2</v>
      </c>
      <c r="E22" s="288"/>
    </row>
    <row r="23" spans="1:21">
      <c r="H23" s="289"/>
      <c r="I23" s="289"/>
      <c r="J23" s="289"/>
    </row>
    <row r="24" spans="1:21" ht="69">
      <c r="B24" s="279"/>
      <c r="C24" s="280" t="s">
        <v>672</v>
      </c>
      <c r="D24" s="280" t="s">
        <v>603</v>
      </c>
      <c r="E24" s="280" t="s">
        <v>604</v>
      </c>
      <c r="F24" s="280" t="s">
        <v>602</v>
      </c>
      <c r="G24" s="290" t="s">
        <v>673</v>
      </c>
      <c r="H24" s="290" t="s">
        <v>674</v>
      </c>
      <c r="I24" s="290" t="s">
        <v>675</v>
      </c>
      <c r="J24" s="290" t="s">
        <v>676</v>
      </c>
      <c r="K24" s="290" t="s">
        <v>677</v>
      </c>
      <c r="L24" s="290" t="s">
        <v>678</v>
      </c>
    </row>
    <row r="25" spans="1:21">
      <c r="A25" s="291"/>
      <c r="B25" s="279" t="s">
        <v>3</v>
      </c>
      <c r="C25" s="282">
        <f t="shared" ref="C25:C32" si="1">C6/2</f>
        <v>81000</v>
      </c>
      <c r="D25" s="282">
        <f t="shared" ref="D25:E32" si="2">D6</f>
        <v>17010</v>
      </c>
      <c r="E25" s="282">
        <f t="shared" si="2"/>
        <v>72900</v>
      </c>
      <c r="F25" s="282">
        <f t="shared" ref="F25:F32" si="3">C6</f>
        <v>162000</v>
      </c>
      <c r="G25" s="292">
        <f>D25-C25</f>
        <v>-63990</v>
      </c>
      <c r="H25" s="293">
        <f>NPV($D$21,G25:G32)</f>
        <v>-230815.27430254672</v>
      </c>
      <c r="I25" s="292">
        <f>NPV(D21,F25:F32)</f>
        <v>633976.68495541706</v>
      </c>
      <c r="J25" s="294">
        <f>-H25/I25</f>
        <v>0.36407533554452126</v>
      </c>
      <c r="K25" s="292">
        <f>$J$25*F25</f>
        <v>58980.204358212446</v>
      </c>
      <c r="L25" s="292">
        <f>0*(1+$D$21)+K25*(1+$D$22)+(D25-C25)*(1+$D$22)</f>
        <v>-5178.8762446978799</v>
      </c>
      <c r="M25" s="276" t="s">
        <v>679</v>
      </c>
      <c r="N25" s="295"/>
      <c r="O25" s="296"/>
      <c r="P25" s="296"/>
      <c r="Q25" s="296"/>
      <c r="R25" s="296"/>
      <c r="S25" s="296"/>
      <c r="T25" s="296"/>
      <c r="U25" s="296"/>
    </row>
    <row r="26" spans="1:21">
      <c r="A26" s="291"/>
      <c r="B26" s="279" t="s">
        <v>79</v>
      </c>
      <c r="C26" s="282">
        <f t="shared" si="1"/>
        <v>72000</v>
      </c>
      <c r="D26" s="282">
        <f t="shared" si="2"/>
        <v>15120</v>
      </c>
      <c r="E26" s="282">
        <f t="shared" si="2"/>
        <v>7200</v>
      </c>
      <c r="F26" s="282">
        <f t="shared" si="3"/>
        <v>144000</v>
      </c>
      <c r="G26" s="292">
        <f>D26-C26</f>
        <v>-56880</v>
      </c>
      <c r="H26" s="297"/>
      <c r="K26" s="292">
        <f>$J$25*F26</f>
        <v>52426.848318411059</v>
      </c>
      <c r="L26" s="292">
        <f>L25*(1+$D$21)+K26*(1+$D$22)+(D26-C26)*(1+$D$22)</f>
        <v>-10131.895942057556</v>
      </c>
      <c r="M26" s="276" t="s">
        <v>679</v>
      </c>
      <c r="O26" s="296"/>
      <c r="P26" s="296"/>
      <c r="Q26" s="296"/>
      <c r="R26" s="296"/>
      <c r="S26" s="296"/>
      <c r="T26" s="296"/>
      <c r="U26" s="296"/>
    </row>
    <row r="27" spans="1:21">
      <c r="A27" s="291"/>
      <c r="B27" s="279" t="s">
        <v>80</v>
      </c>
      <c r="C27" s="282">
        <f t="shared" si="1"/>
        <v>63000</v>
      </c>
      <c r="D27" s="282">
        <f t="shared" si="2"/>
        <v>13230</v>
      </c>
      <c r="E27" s="282">
        <f t="shared" si="2"/>
        <v>6300</v>
      </c>
      <c r="F27" s="282">
        <f t="shared" si="3"/>
        <v>126000</v>
      </c>
      <c r="G27" s="292">
        <f t="shared" ref="G27:G32" si="4">D27-C27</f>
        <v>-49770</v>
      </c>
      <c r="H27" s="297"/>
      <c r="K27" s="292">
        <f t="shared" ref="K27:K32" si="5">$J$25*F27</f>
        <v>45873.492278609679</v>
      </c>
      <c r="L27" s="292">
        <f>L26*(1+$D$21)+K27*(1+$D$22)+(D27-C27)*(1+$D$22)</f>
        <v>-14843.813775133684</v>
      </c>
      <c r="M27" s="276" t="s">
        <v>679</v>
      </c>
      <c r="O27" s="296"/>
      <c r="P27" s="296"/>
      <c r="Q27" s="296"/>
      <c r="R27" s="296"/>
      <c r="S27" s="296"/>
      <c r="T27" s="296"/>
      <c r="U27" s="296"/>
    </row>
    <row r="28" spans="1:21">
      <c r="A28" s="291"/>
      <c r="B28" s="279" t="s">
        <v>137</v>
      </c>
      <c r="C28" s="282">
        <f t="shared" si="1"/>
        <v>54000</v>
      </c>
      <c r="D28" s="282">
        <f t="shared" si="2"/>
        <v>17280</v>
      </c>
      <c r="E28" s="282">
        <f t="shared" si="2"/>
        <v>5400</v>
      </c>
      <c r="F28" s="282">
        <f t="shared" si="3"/>
        <v>108000</v>
      </c>
      <c r="G28" s="292">
        <f>D28-C28</f>
        <v>-36720</v>
      </c>
      <c r="H28" s="297"/>
      <c r="K28" s="292">
        <f>$J$25*F28</f>
        <v>39320.1362388083</v>
      </c>
      <c r="L28" s="292">
        <f>L27*(1+$D$21)+K28*(1+$D$22)+(D28-C28)*(1+$D$22)</f>
        <v>-13157.880368087128</v>
      </c>
      <c r="M28" s="276" t="s">
        <v>679</v>
      </c>
      <c r="O28" s="296"/>
      <c r="P28" s="296"/>
      <c r="Q28" s="296"/>
      <c r="R28" s="296"/>
      <c r="S28" s="296"/>
      <c r="T28" s="296"/>
      <c r="U28" s="296"/>
    </row>
    <row r="29" spans="1:21">
      <c r="A29" s="291"/>
      <c r="B29" s="279" t="s">
        <v>138</v>
      </c>
      <c r="C29" s="282">
        <f t="shared" si="1"/>
        <v>45000</v>
      </c>
      <c r="D29" s="282">
        <f t="shared" si="2"/>
        <v>14400</v>
      </c>
      <c r="E29" s="282">
        <f t="shared" si="2"/>
        <v>4500</v>
      </c>
      <c r="F29" s="282">
        <f t="shared" si="3"/>
        <v>90000</v>
      </c>
      <c r="G29" s="292">
        <f t="shared" si="4"/>
        <v>-30600</v>
      </c>
      <c r="H29" s="297"/>
      <c r="K29" s="292">
        <f>$J$25*F29</f>
        <v>32766.780199006913</v>
      </c>
      <c r="L29" s="292">
        <f>L28*(1+$D$21)+K29*(1+$D$22)+(D29-C29)*(1+$D$22)</f>
        <v>-11806.128262209615</v>
      </c>
      <c r="M29" s="276" t="s">
        <v>679</v>
      </c>
      <c r="O29" s="296"/>
      <c r="P29" s="296"/>
      <c r="Q29" s="296"/>
      <c r="R29" s="296"/>
      <c r="S29" s="296"/>
      <c r="T29" s="296"/>
      <c r="U29" s="296"/>
    </row>
    <row r="30" spans="1:21">
      <c r="A30" s="291"/>
      <c r="B30" s="279" t="s">
        <v>662</v>
      </c>
      <c r="C30" s="282">
        <f t="shared" si="1"/>
        <v>36000</v>
      </c>
      <c r="D30" s="282">
        <f t="shared" si="2"/>
        <v>15480</v>
      </c>
      <c r="E30" s="282">
        <f t="shared" si="2"/>
        <v>3600</v>
      </c>
      <c r="F30" s="282">
        <f t="shared" si="3"/>
        <v>72000</v>
      </c>
      <c r="G30" s="292">
        <f t="shared" si="4"/>
        <v>-20520</v>
      </c>
      <c r="H30" s="297"/>
      <c r="K30" s="292">
        <f t="shared" si="5"/>
        <v>26213.42415920553</v>
      </c>
      <c r="L30" s="292">
        <f t="shared" ref="L30:L31" si="6">L29*(1+$D$21)+K30*(1+$D$22)+(D30-C30)*(1+$D$22)</f>
        <v>-6717.4646953300471</v>
      </c>
      <c r="M30" s="276" t="s">
        <v>679</v>
      </c>
      <c r="O30" s="296"/>
      <c r="P30" s="296"/>
      <c r="Q30" s="296"/>
      <c r="R30" s="296"/>
      <c r="S30" s="296"/>
      <c r="T30" s="296"/>
      <c r="U30" s="296"/>
    </row>
    <row r="31" spans="1:21">
      <c r="A31" s="291"/>
      <c r="B31" s="279" t="s">
        <v>663</v>
      </c>
      <c r="C31" s="282">
        <f t="shared" si="1"/>
        <v>27000</v>
      </c>
      <c r="D31" s="282">
        <f t="shared" si="2"/>
        <v>11610</v>
      </c>
      <c r="E31" s="282">
        <f t="shared" si="2"/>
        <v>2700</v>
      </c>
      <c r="F31" s="282">
        <f t="shared" si="3"/>
        <v>54000</v>
      </c>
      <c r="G31" s="292">
        <f t="shared" si="4"/>
        <v>-15390</v>
      </c>
      <c r="H31" s="297"/>
      <c r="K31" s="292">
        <f t="shared" si="5"/>
        <v>19660.06811940415</v>
      </c>
      <c r="L31" s="292">
        <f t="shared" si="6"/>
        <v>-2756.7106438307856</v>
      </c>
      <c r="M31" s="276" t="s">
        <v>679</v>
      </c>
    </row>
    <row r="32" spans="1:21">
      <c r="A32" s="291"/>
      <c r="B32" s="279" t="s">
        <v>664</v>
      </c>
      <c r="C32" s="282">
        <f t="shared" si="1"/>
        <v>18000</v>
      </c>
      <c r="D32" s="282">
        <f t="shared" si="2"/>
        <v>7740</v>
      </c>
      <c r="E32" s="282">
        <f t="shared" si="2"/>
        <v>1800</v>
      </c>
      <c r="F32" s="282">
        <f t="shared" si="3"/>
        <v>36000</v>
      </c>
      <c r="G32" s="292">
        <f t="shared" si="4"/>
        <v>-10260</v>
      </c>
      <c r="H32" s="297"/>
      <c r="K32" s="292">
        <f t="shared" si="5"/>
        <v>13106.712079602765</v>
      </c>
      <c r="L32" s="292">
        <f>L31*(1+$D$21)+K32*(1+$D$22)+(D32-C32)*(1+$D$22)</f>
        <v>0</v>
      </c>
      <c r="M32" s="276" t="s">
        <v>679</v>
      </c>
    </row>
    <row r="33" spans="1:13">
      <c r="A33" s="291"/>
      <c r="C33" s="297"/>
      <c r="D33" s="297"/>
      <c r="E33" s="297"/>
      <c r="F33" s="297"/>
      <c r="G33" s="298"/>
      <c r="H33" s="299"/>
      <c r="K33" s="298"/>
      <c r="L33" s="298"/>
      <c r="M33" s="300"/>
    </row>
    <row r="34" spans="1:13">
      <c r="A34" s="291"/>
      <c r="B34" s="276" t="s">
        <v>680</v>
      </c>
      <c r="C34" s="297"/>
      <c r="D34" s="297"/>
      <c r="E34" s="297"/>
      <c r="F34" s="297"/>
      <c r="G34" s="298"/>
      <c r="H34" s="299"/>
      <c r="K34" s="298"/>
      <c r="L34" s="298"/>
      <c r="M34" s="300"/>
    </row>
    <row r="35" spans="1:13">
      <c r="A35" s="291"/>
      <c r="B35" s="276" t="s">
        <v>681</v>
      </c>
      <c r="C35" s="297"/>
      <c r="D35" s="297"/>
      <c r="E35" s="297"/>
      <c r="F35" s="297"/>
      <c r="G35" s="298"/>
      <c r="H35" s="299"/>
      <c r="K35" s="298"/>
      <c r="L35" s="298"/>
      <c r="M35" s="300"/>
    </row>
    <row r="36" spans="1:13">
      <c r="A36" s="291"/>
      <c r="C36" s="297"/>
      <c r="D36" s="297"/>
      <c r="E36" s="297"/>
      <c r="F36" s="297"/>
      <c r="G36" s="298"/>
      <c r="H36" s="299"/>
      <c r="K36" s="298"/>
      <c r="L36" s="298"/>
      <c r="M36" s="300"/>
    </row>
    <row r="37" spans="1:13" ht="14.4">
      <c r="A37" s="285" t="s">
        <v>682</v>
      </c>
      <c r="C37" s="297"/>
      <c r="D37" s="297"/>
      <c r="E37" s="297"/>
      <c r="F37" s="297"/>
      <c r="G37" s="298"/>
      <c r="H37" s="299"/>
      <c r="K37" s="298"/>
      <c r="L37" s="298"/>
      <c r="M37" s="300"/>
    </row>
    <row r="38" spans="1:13" ht="15.6">
      <c r="A38" s="291"/>
      <c r="B38" s="286" t="s">
        <v>666</v>
      </c>
      <c r="C38" s="297"/>
      <c r="D38" s="297"/>
      <c r="E38" s="297"/>
      <c r="F38" s="297"/>
      <c r="G38" s="298"/>
      <c r="H38" s="299"/>
      <c r="K38" s="298"/>
      <c r="L38" s="298"/>
      <c r="M38" s="300"/>
    </row>
    <row r="39" spans="1:13" ht="15.6">
      <c r="A39" s="291"/>
      <c r="B39" s="287" t="s">
        <v>667</v>
      </c>
      <c r="C39" s="297"/>
      <c r="D39" s="297"/>
      <c r="E39" s="297"/>
      <c r="F39" s="297"/>
      <c r="G39" s="298"/>
      <c r="H39" s="299"/>
      <c r="K39" s="298"/>
      <c r="L39" s="298"/>
      <c r="M39" s="300"/>
    </row>
    <row r="40" spans="1:13" ht="15.6">
      <c r="A40" s="291"/>
      <c r="B40" s="287" t="s">
        <v>683</v>
      </c>
      <c r="C40" s="297"/>
      <c r="D40" s="297"/>
      <c r="E40" s="297"/>
      <c r="F40" s="297"/>
      <c r="G40" s="298"/>
      <c r="H40" s="299"/>
      <c r="K40" s="298"/>
      <c r="L40" s="298"/>
      <c r="M40" s="300"/>
    </row>
    <row r="41" spans="1:13" ht="15.6">
      <c r="A41" s="291"/>
      <c r="B41" s="287" t="s">
        <v>669</v>
      </c>
      <c r="C41" s="297"/>
      <c r="D41" s="297"/>
      <c r="E41" s="297"/>
      <c r="F41" s="297"/>
      <c r="G41" s="298"/>
      <c r="H41" s="299"/>
      <c r="K41" s="298"/>
      <c r="L41" s="298"/>
      <c r="M41" s="300"/>
    </row>
    <row r="42" spans="1:13">
      <c r="A42" s="291"/>
      <c r="C42" s="297"/>
      <c r="D42" s="297"/>
      <c r="E42" s="297"/>
      <c r="F42" s="297"/>
      <c r="G42" s="298"/>
      <c r="H42" s="299"/>
      <c r="K42" s="298"/>
      <c r="L42" s="298"/>
      <c r="M42" s="300"/>
    </row>
    <row r="43" spans="1:13" ht="69">
      <c r="B43" s="279"/>
      <c r="C43" s="280" t="s">
        <v>672</v>
      </c>
      <c r="D43" s="280" t="s">
        <v>603</v>
      </c>
      <c r="E43" s="280" t="s">
        <v>604</v>
      </c>
      <c r="F43" s="280" t="s">
        <v>602</v>
      </c>
      <c r="G43" s="301"/>
      <c r="H43" s="290" t="s">
        <v>684</v>
      </c>
      <c r="I43" s="290" t="s">
        <v>675</v>
      </c>
      <c r="J43" s="290" t="s">
        <v>685</v>
      </c>
      <c r="K43" s="290" t="s">
        <v>686</v>
      </c>
      <c r="L43" s="290" t="s">
        <v>687</v>
      </c>
    </row>
    <row r="44" spans="1:13">
      <c r="B44" s="279" t="s">
        <v>3</v>
      </c>
      <c r="C44" s="282">
        <f t="shared" ref="C44:C51" si="7">C25</f>
        <v>81000</v>
      </c>
      <c r="D44" s="282">
        <f t="shared" ref="D44:D51" si="8">D6</f>
        <v>17010</v>
      </c>
      <c r="E44" s="282">
        <v>72900</v>
      </c>
      <c r="F44" s="282">
        <v>162000</v>
      </c>
      <c r="G44" s="298"/>
      <c r="H44" s="292">
        <f>NPV(D21,E44:E51)</f>
        <v>92401.410360183043</v>
      </c>
      <c r="I44" s="292">
        <f>NPV(D21,F44:F51)</f>
        <v>633976.68495541706</v>
      </c>
      <c r="J44" s="288">
        <f>-H44/I44</f>
        <v>-0.14574890930993931</v>
      </c>
      <c r="K44" s="292">
        <f>$J$44*F44</f>
        <v>-23611.323308210169</v>
      </c>
      <c r="L44" s="292">
        <f>0*(1+$D$21)+K44*(1+$D$22)+E44*(1+D22)</f>
        <v>50952.16953013774</v>
      </c>
      <c r="M44" s="276" t="s">
        <v>688</v>
      </c>
    </row>
    <row r="45" spans="1:13">
      <c r="B45" s="279" t="s">
        <v>79</v>
      </c>
      <c r="C45" s="282">
        <f t="shared" si="7"/>
        <v>72000</v>
      </c>
      <c r="D45" s="282">
        <f t="shared" si="8"/>
        <v>15120</v>
      </c>
      <c r="E45" s="282">
        <v>7200</v>
      </c>
      <c r="F45" s="282">
        <v>144000</v>
      </c>
      <c r="G45" s="298"/>
      <c r="H45" s="297"/>
      <c r="K45" s="292">
        <f>$J$44*F45</f>
        <v>-20987.842940631261</v>
      </c>
      <c r="L45" s="292">
        <f>L44*(1+$D$21)+F45*$J$44*(1+$D$22)+(E45)*(1+$D$22)</f>
        <v>40138.258333544465</v>
      </c>
      <c r="M45" s="276" t="s">
        <v>688</v>
      </c>
    </row>
    <row r="46" spans="1:13">
      <c r="B46" s="279" t="s">
        <v>80</v>
      </c>
      <c r="C46" s="282">
        <f t="shared" si="7"/>
        <v>63000</v>
      </c>
      <c r="D46" s="282">
        <f t="shared" si="8"/>
        <v>13230</v>
      </c>
      <c r="E46" s="282">
        <v>6300</v>
      </c>
      <c r="F46" s="282">
        <v>126000</v>
      </c>
      <c r="G46" s="298"/>
      <c r="H46" s="297"/>
      <c r="K46" s="292">
        <f>$J$44*F46</f>
        <v>-18364.362573052353</v>
      </c>
      <c r="L46" s="292">
        <f t="shared" ref="L46:L51" si="9">L45*(1+$D$21)+F46*$J$44*(1+$D$22)+E46*(1+$D$22)</f>
        <v>30376.055961165843</v>
      </c>
      <c r="M46" s="276" t="s">
        <v>688</v>
      </c>
    </row>
    <row r="47" spans="1:13">
      <c r="B47" s="279" t="s">
        <v>137</v>
      </c>
      <c r="C47" s="282">
        <f t="shared" si="7"/>
        <v>54000</v>
      </c>
      <c r="D47" s="282">
        <f t="shared" si="8"/>
        <v>17280</v>
      </c>
      <c r="E47" s="282">
        <v>5400</v>
      </c>
      <c r="F47" s="282">
        <v>108000</v>
      </c>
      <c r="G47" s="298"/>
      <c r="H47" s="297"/>
      <c r="K47" s="292">
        <f t="shared" ref="K47:K51" si="10">$J$44*F47</f>
        <v>-15740.882205473445</v>
      </c>
      <c r="L47" s="292">
        <f t="shared" si="9"/>
        <v>21736.552758636361</v>
      </c>
      <c r="M47" s="276" t="s">
        <v>688</v>
      </c>
    </row>
    <row r="48" spans="1:13">
      <c r="B48" s="279" t="s">
        <v>138</v>
      </c>
      <c r="C48" s="282">
        <f t="shared" si="7"/>
        <v>45000</v>
      </c>
      <c r="D48" s="282">
        <f t="shared" si="8"/>
        <v>14400</v>
      </c>
      <c r="E48" s="282">
        <v>4500</v>
      </c>
      <c r="F48" s="282">
        <v>90000</v>
      </c>
      <c r="G48" s="298"/>
      <c r="H48" s="297"/>
      <c r="K48" s="292">
        <f>$J$44*F48</f>
        <v>-13117.401837894538</v>
      </c>
      <c r="L48" s="292">
        <f t="shared" si="9"/>
        <v>14295.530919920833</v>
      </c>
      <c r="M48" s="276" t="s">
        <v>688</v>
      </c>
    </row>
    <row r="49" spans="1:14">
      <c r="B49" s="279" t="s">
        <v>662</v>
      </c>
      <c r="C49" s="282">
        <f t="shared" si="7"/>
        <v>36000</v>
      </c>
      <c r="D49" s="282">
        <f t="shared" si="8"/>
        <v>15480</v>
      </c>
      <c r="E49" s="282">
        <v>3600</v>
      </c>
      <c r="F49" s="282">
        <v>72000</v>
      </c>
      <c r="G49" s="298"/>
      <c r="H49" s="297"/>
      <c r="K49" s="292">
        <f t="shared" si="10"/>
        <v>-10493.92147031563</v>
      </c>
      <c r="L49" s="292">
        <f t="shared" si="9"/>
        <v>8133.8879370767063</v>
      </c>
      <c r="M49" s="276" t="s">
        <v>688</v>
      </c>
    </row>
    <row r="50" spans="1:14">
      <c r="B50" s="279" t="s">
        <v>663</v>
      </c>
      <c r="C50" s="282">
        <f t="shared" si="7"/>
        <v>27000</v>
      </c>
      <c r="D50" s="282">
        <f t="shared" si="8"/>
        <v>11610</v>
      </c>
      <c r="E50" s="282">
        <v>2700</v>
      </c>
      <c r="F50" s="282">
        <v>54000</v>
      </c>
      <c r="G50" s="298"/>
      <c r="H50" s="297"/>
      <c r="K50" s="292">
        <f t="shared" si="10"/>
        <v>-7870.4411027367223</v>
      </c>
      <c r="L50" s="292">
        <f t="shared" si="9"/>
        <v>3337.9818828752959</v>
      </c>
      <c r="M50" s="276" t="s">
        <v>688</v>
      </c>
    </row>
    <row r="51" spans="1:14">
      <c r="B51" s="279" t="s">
        <v>664</v>
      </c>
      <c r="C51" s="282">
        <f t="shared" si="7"/>
        <v>18000</v>
      </c>
      <c r="D51" s="282">
        <f t="shared" si="8"/>
        <v>7740</v>
      </c>
      <c r="E51" s="282">
        <v>1800</v>
      </c>
      <c r="F51" s="282">
        <v>36000</v>
      </c>
      <c r="G51" s="298"/>
      <c r="H51" s="297"/>
      <c r="K51" s="292">
        <f t="shared" si="10"/>
        <v>-5246.9607351578152</v>
      </c>
      <c r="L51" s="292">
        <f t="shared" si="9"/>
        <v>-1.2732925824820995E-11</v>
      </c>
      <c r="M51" s="276" t="s">
        <v>688</v>
      </c>
      <c r="N51" s="302"/>
    </row>
    <row r="53" spans="1:14" ht="14.4">
      <c r="A53" s="285" t="s">
        <v>689</v>
      </c>
    </row>
    <row r="54" spans="1:14" ht="15.6">
      <c r="B54" s="286" t="s">
        <v>666</v>
      </c>
    </row>
    <row r="55" spans="1:14" ht="15.6">
      <c r="B55" s="287" t="s">
        <v>690</v>
      </c>
    </row>
    <row r="56" spans="1:14" ht="15.6">
      <c r="B56" s="287" t="s">
        <v>691</v>
      </c>
    </row>
    <row r="58" spans="1:14" ht="69">
      <c r="B58" s="279"/>
      <c r="C58" s="280" t="s">
        <v>672</v>
      </c>
      <c r="D58" s="280" t="s">
        <v>603</v>
      </c>
      <c r="E58" s="280" t="s">
        <v>604</v>
      </c>
      <c r="F58" s="280" t="s">
        <v>602</v>
      </c>
      <c r="G58" s="290" t="s">
        <v>692</v>
      </c>
      <c r="H58" s="290" t="s">
        <v>693</v>
      </c>
      <c r="I58" s="290" t="s">
        <v>694</v>
      </c>
      <c r="J58" s="290" t="s">
        <v>695</v>
      </c>
      <c r="K58" s="290" t="s">
        <v>696</v>
      </c>
      <c r="L58" s="290" t="s">
        <v>697</v>
      </c>
      <c r="N58" s="300"/>
    </row>
    <row r="59" spans="1:14">
      <c r="B59" s="279" t="s">
        <v>3</v>
      </c>
      <c r="C59" s="282">
        <f t="shared" ref="C59:F66" si="11">C25</f>
        <v>81000</v>
      </c>
      <c r="D59" s="282">
        <f t="shared" si="11"/>
        <v>17010</v>
      </c>
      <c r="E59" s="282">
        <f t="shared" si="11"/>
        <v>72900</v>
      </c>
      <c r="F59" s="282">
        <f t="shared" si="11"/>
        <v>162000</v>
      </c>
      <c r="G59" s="293">
        <f>D59+E59-C59</f>
        <v>8910</v>
      </c>
      <c r="H59" s="293">
        <f t="shared" ref="H59:H66" si="12">L25+L44</f>
        <v>45773.29328543986</v>
      </c>
      <c r="I59" s="293">
        <f>H59-0</f>
        <v>45773.29328543986</v>
      </c>
      <c r="J59" s="293">
        <f t="shared" ref="J59:J66" si="13">I59-G59</f>
        <v>36863.29328543986</v>
      </c>
      <c r="K59" s="293">
        <f>-((G59+K25+K44)*$D$22+0*$D$21)</f>
        <v>-1494.412235437577</v>
      </c>
      <c r="L59" s="293">
        <f t="shared" ref="L59:L66" si="14">J59+K59</f>
        <v>35368.881050002281</v>
      </c>
      <c r="M59" s="276" t="s">
        <v>698</v>
      </c>
      <c r="N59" s="303"/>
    </row>
    <row r="60" spans="1:14">
      <c r="B60" s="279" t="s">
        <v>79</v>
      </c>
      <c r="C60" s="282">
        <f t="shared" si="11"/>
        <v>72000</v>
      </c>
      <c r="D60" s="282">
        <f t="shared" si="11"/>
        <v>15120</v>
      </c>
      <c r="E60" s="282">
        <f t="shared" si="11"/>
        <v>7200</v>
      </c>
      <c r="F60" s="282">
        <f t="shared" si="11"/>
        <v>144000</v>
      </c>
      <c r="G60" s="293">
        <f>D60+E60-C60</f>
        <v>-49680</v>
      </c>
      <c r="H60" s="293">
        <f t="shared" si="12"/>
        <v>30006.362391486909</v>
      </c>
      <c r="I60" s="293">
        <f>H60-H59</f>
        <v>-15766.930893952951</v>
      </c>
      <c r="J60" s="293">
        <f>I60-G60</f>
        <v>33913.069106047049</v>
      </c>
      <c r="K60" s="293">
        <f t="shared" ref="K60:K66" si="15">-((G60+K26+K45)*$D$22+H59*$D$21)</f>
        <v>-2474.0637282672592</v>
      </c>
      <c r="L60" s="293">
        <f t="shared" si="14"/>
        <v>31439.005377779791</v>
      </c>
      <c r="M60" s="276" t="s">
        <v>698</v>
      </c>
      <c r="N60" s="303"/>
    </row>
    <row r="61" spans="1:14">
      <c r="B61" s="279" t="s">
        <v>80</v>
      </c>
      <c r="C61" s="282">
        <f t="shared" si="11"/>
        <v>63000</v>
      </c>
      <c r="D61" s="282">
        <f t="shared" si="11"/>
        <v>13230</v>
      </c>
      <c r="E61" s="282">
        <f t="shared" si="11"/>
        <v>6300</v>
      </c>
      <c r="F61" s="282">
        <f t="shared" si="11"/>
        <v>126000</v>
      </c>
      <c r="G61" s="293">
        <f>D61+E61-C61</f>
        <v>-43470</v>
      </c>
      <c r="H61" s="293">
        <f t="shared" si="12"/>
        <v>15532.242186032159</v>
      </c>
      <c r="I61" s="293">
        <f>H61-H60</f>
        <v>-14474.12020545475</v>
      </c>
      <c r="J61" s="293">
        <f>I61-G61</f>
        <v>28995.87979454525</v>
      </c>
      <c r="K61" s="293">
        <f t="shared" si="15"/>
        <v>-1486.7500889879261</v>
      </c>
      <c r="L61" s="293">
        <f t="shared" si="14"/>
        <v>27509.129705557323</v>
      </c>
      <c r="M61" s="276" t="s">
        <v>698</v>
      </c>
      <c r="N61" s="303"/>
    </row>
    <row r="62" spans="1:14">
      <c r="B62" s="279" t="s">
        <v>137</v>
      </c>
      <c r="C62" s="282">
        <f t="shared" si="11"/>
        <v>54000</v>
      </c>
      <c r="D62" s="282">
        <f t="shared" si="11"/>
        <v>17280</v>
      </c>
      <c r="E62" s="282">
        <f t="shared" si="11"/>
        <v>5400</v>
      </c>
      <c r="F62" s="282">
        <f t="shared" si="11"/>
        <v>108000</v>
      </c>
      <c r="G62" s="293">
        <f>D62+E62-C62</f>
        <v>-31320</v>
      </c>
      <c r="H62" s="293">
        <f t="shared" si="12"/>
        <v>8578.6723905492327</v>
      </c>
      <c r="I62" s="293">
        <f>H62-H61</f>
        <v>-6953.5697954829266</v>
      </c>
      <c r="J62" s="293">
        <f t="shared" si="13"/>
        <v>24366.430204517073</v>
      </c>
      <c r="K62" s="293">
        <f t="shared" si="15"/>
        <v>-787.17617118222222</v>
      </c>
      <c r="L62" s="293">
        <f t="shared" si="14"/>
        <v>23579.254033334852</v>
      </c>
      <c r="M62" s="276" t="s">
        <v>698</v>
      </c>
      <c r="N62" s="303"/>
    </row>
    <row r="63" spans="1:14">
      <c r="B63" s="279" t="s">
        <v>138</v>
      </c>
      <c r="C63" s="282">
        <f t="shared" si="11"/>
        <v>45000</v>
      </c>
      <c r="D63" s="282">
        <f t="shared" si="11"/>
        <v>14400</v>
      </c>
      <c r="E63" s="282">
        <f t="shared" si="11"/>
        <v>4500</v>
      </c>
      <c r="F63" s="282">
        <f t="shared" si="11"/>
        <v>90000</v>
      </c>
      <c r="G63" s="293">
        <f t="shared" ref="G63:G66" si="16">D63+E63-C63</f>
        <v>-26100</v>
      </c>
      <c r="H63" s="293">
        <f t="shared" si="12"/>
        <v>2489.4026577112181</v>
      </c>
      <c r="I63" s="293">
        <f t="shared" ref="I63:I66" si="17">H63-H62</f>
        <v>-6089.2697328380145</v>
      </c>
      <c r="J63" s="293">
        <f t="shared" si="13"/>
        <v>20010.730267161984</v>
      </c>
      <c r="K63" s="293">
        <f t="shared" si="15"/>
        <v>-361.35190604961588</v>
      </c>
      <c r="L63" s="293">
        <f t="shared" si="14"/>
        <v>19649.378361112369</v>
      </c>
      <c r="M63" s="276" t="s">
        <v>698</v>
      </c>
      <c r="N63" s="303"/>
    </row>
    <row r="64" spans="1:14">
      <c r="B64" s="279" t="s">
        <v>662</v>
      </c>
      <c r="C64" s="282">
        <f t="shared" si="11"/>
        <v>36000</v>
      </c>
      <c r="D64" s="282">
        <f t="shared" si="11"/>
        <v>15480</v>
      </c>
      <c r="E64" s="282">
        <f t="shared" si="11"/>
        <v>3600</v>
      </c>
      <c r="F64" s="282">
        <f t="shared" si="11"/>
        <v>72000</v>
      </c>
      <c r="G64" s="293">
        <f t="shared" si="16"/>
        <v>-16920</v>
      </c>
      <c r="H64" s="293">
        <f t="shared" si="12"/>
        <v>1416.4232417466592</v>
      </c>
      <c r="I64" s="293">
        <f>H64-H63</f>
        <v>-1072.9794159645589</v>
      </c>
      <c r="J64" s="293">
        <f t="shared" si="13"/>
        <v>15847.020584035441</v>
      </c>
      <c r="K64" s="293">
        <f t="shared" si="15"/>
        <v>-127.51789514554133</v>
      </c>
      <c r="L64" s="293">
        <f t="shared" si="14"/>
        <v>15719.502688889899</v>
      </c>
      <c r="M64" s="276" t="s">
        <v>698</v>
      </c>
      <c r="N64" s="303"/>
    </row>
    <row r="65" spans="1:14">
      <c r="B65" s="279" t="s">
        <v>663</v>
      </c>
      <c r="C65" s="282">
        <f t="shared" si="11"/>
        <v>27000</v>
      </c>
      <c r="D65" s="282">
        <f t="shared" si="11"/>
        <v>11610</v>
      </c>
      <c r="E65" s="282">
        <f t="shared" si="11"/>
        <v>2700</v>
      </c>
      <c r="F65" s="282">
        <f t="shared" si="11"/>
        <v>54000</v>
      </c>
      <c r="G65" s="293">
        <f t="shared" si="16"/>
        <v>-12690</v>
      </c>
      <c r="H65" s="293">
        <f t="shared" si="12"/>
        <v>581.27123904451037</v>
      </c>
      <c r="I65" s="293">
        <f t="shared" si="17"/>
        <v>-835.15200270214882</v>
      </c>
      <c r="J65" s="293">
        <f t="shared" si="13"/>
        <v>11854.847997297851</v>
      </c>
      <c r="K65" s="293">
        <f t="shared" si="15"/>
        <v>-65.220980630425174</v>
      </c>
      <c r="L65" s="293">
        <f t="shared" si="14"/>
        <v>11789.627016667426</v>
      </c>
      <c r="M65" s="276" t="s">
        <v>698</v>
      </c>
      <c r="N65" s="303"/>
    </row>
    <row r="66" spans="1:14">
      <c r="B66" s="279" t="s">
        <v>664</v>
      </c>
      <c r="C66" s="282">
        <f t="shared" si="11"/>
        <v>18000</v>
      </c>
      <c r="D66" s="282">
        <f t="shared" si="11"/>
        <v>7740</v>
      </c>
      <c r="E66" s="282">
        <f t="shared" si="11"/>
        <v>1800</v>
      </c>
      <c r="F66" s="282">
        <f t="shared" si="11"/>
        <v>36000</v>
      </c>
      <c r="G66" s="293">
        <f t="shared" si="16"/>
        <v>-8460</v>
      </c>
      <c r="H66" s="293">
        <f t="shared" si="12"/>
        <v>-1.2732925824820995E-11</v>
      </c>
      <c r="I66" s="293">
        <f t="shared" si="17"/>
        <v>-581.2712390445231</v>
      </c>
      <c r="J66" s="293">
        <f t="shared" si="13"/>
        <v>7878.7287609554769</v>
      </c>
      <c r="K66" s="293">
        <f t="shared" si="15"/>
        <v>-18.977416510521504</v>
      </c>
      <c r="L66" s="293">
        <f t="shared" si="14"/>
        <v>7859.7513444449551</v>
      </c>
      <c r="M66" s="276" t="s">
        <v>698</v>
      </c>
      <c r="N66" s="303"/>
    </row>
    <row r="67" spans="1:14">
      <c r="C67" s="297"/>
      <c r="D67" s="297"/>
      <c r="G67" s="300"/>
      <c r="H67" s="300"/>
      <c r="I67" s="300"/>
      <c r="J67" s="300"/>
      <c r="K67" s="300"/>
      <c r="L67" s="300"/>
    </row>
    <row r="68" spans="1:14" ht="14.4">
      <c r="A68" s="285" t="s">
        <v>699</v>
      </c>
      <c r="K68" s="293"/>
    </row>
    <row r="69" spans="1:14" ht="15.6">
      <c r="A69" s="285"/>
      <c r="B69" s="286" t="s">
        <v>666</v>
      </c>
      <c r="K69" s="293"/>
    </row>
    <row r="70" spans="1:14" ht="15.6">
      <c r="A70" s="285"/>
      <c r="B70" s="287" t="s">
        <v>700</v>
      </c>
      <c r="K70" s="293"/>
    </row>
    <row r="71" spans="1:14">
      <c r="A71" s="300"/>
      <c r="K71" s="292"/>
    </row>
    <row r="72" spans="1:14">
      <c r="D72" s="1139" t="s">
        <v>701</v>
      </c>
      <c r="E72" s="1139"/>
      <c r="F72" s="1139"/>
      <c r="G72" s="1139"/>
    </row>
    <row r="73" spans="1:14">
      <c r="D73" s="1139" t="s">
        <v>702</v>
      </c>
      <c r="E73" s="1139"/>
      <c r="F73" s="1139" t="s">
        <v>703</v>
      </c>
      <c r="G73" s="1139"/>
    </row>
    <row r="74" spans="1:14">
      <c r="D74" s="304" t="s">
        <v>704</v>
      </c>
      <c r="E74" s="304" t="s">
        <v>705</v>
      </c>
      <c r="F74" s="304" t="s">
        <v>704</v>
      </c>
      <c r="G74" s="304" t="s">
        <v>705</v>
      </c>
    </row>
    <row r="75" spans="1:14">
      <c r="B75" s="305" t="s">
        <v>706</v>
      </c>
      <c r="C75" s="305"/>
      <c r="D75" s="279"/>
      <c r="E75" s="279"/>
      <c r="F75" s="279"/>
      <c r="G75" s="279"/>
    </row>
    <row r="76" spans="1:14">
      <c r="C76" s="306" t="s">
        <v>436</v>
      </c>
      <c r="D76" s="307">
        <f>G59</f>
        <v>8910</v>
      </c>
      <c r="E76" s="279"/>
      <c r="F76" s="279"/>
      <c r="G76" s="279"/>
      <c r="H76" s="276" t="s">
        <v>707</v>
      </c>
    </row>
    <row r="77" spans="1:14">
      <c r="C77" s="306" t="s">
        <v>708</v>
      </c>
      <c r="D77" s="279"/>
      <c r="E77" s="279"/>
      <c r="F77" s="282">
        <f>C59</f>
        <v>81000</v>
      </c>
      <c r="G77" s="279"/>
      <c r="H77" s="276" t="s">
        <v>709</v>
      </c>
    </row>
    <row r="78" spans="1:14">
      <c r="C78" s="306" t="s">
        <v>710</v>
      </c>
      <c r="D78" s="279"/>
      <c r="E78" s="279"/>
      <c r="F78" s="279"/>
      <c r="G78" s="282">
        <f>D59</f>
        <v>17010</v>
      </c>
      <c r="H78" s="276" t="s">
        <v>711</v>
      </c>
    </row>
    <row r="79" spans="1:14">
      <c r="C79" s="306" t="s">
        <v>712</v>
      </c>
      <c r="D79" s="279"/>
      <c r="E79" s="279"/>
      <c r="F79" s="279"/>
      <c r="G79" s="282">
        <f>E59</f>
        <v>72900</v>
      </c>
      <c r="H79" s="276" t="s">
        <v>713</v>
      </c>
    </row>
    <row r="80" spans="1:14">
      <c r="B80" s="305"/>
      <c r="C80" s="305"/>
      <c r="D80" s="279"/>
      <c r="E80" s="279"/>
      <c r="F80" s="279"/>
      <c r="G80" s="279"/>
    </row>
    <row r="81" spans="2:8">
      <c r="B81" s="308" t="s">
        <v>714</v>
      </c>
      <c r="C81" s="305"/>
      <c r="D81" s="279"/>
      <c r="E81" s="279"/>
      <c r="F81" s="279"/>
      <c r="G81" s="279"/>
      <c r="H81" s="300"/>
    </row>
    <row r="82" spans="2:8">
      <c r="C82" s="306" t="s">
        <v>715</v>
      </c>
      <c r="D82" s="307">
        <f>-L25</f>
        <v>5178.8762446978799</v>
      </c>
      <c r="E82" s="279"/>
      <c r="F82" s="279"/>
      <c r="G82" s="279"/>
      <c r="H82" s="276" t="s">
        <v>716</v>
      </c>
    </row>
    <row r="83" spans="2:8">
      <c r="C83" s="306" t="s">
        <v>710</v>
      </c>
      <c r="D83" s="279"/>
      <c r="E83" s="279"/>
      <c r="F83" s="279"/>
      <c r="G83" s="307">
        <f>-L25</f>
        <v>5178.8762446978799</v>
      </c>
      <c r="H83" s="276" t="s">
        <v>716</v>
      </c>
    </row>
    <row r="84" spans="2:8">
      <c r="C84" s="306" t="s">
        <v>712</v>
      </c>
      <c r="D84" s="279"/>
      <c r="E84" s="279"/>
      <c r="F84" s="307">
        <f>L44</f>
        <v>50952.16953013774</v>
      </c>
      <c r="G84" s="279"/>
      <c r="H84" s="276" t="s">
        <v>717</v>
      </c>
    </row>
    <row r="85" spans="2:8">
      <c r="C85" s="306" t="s">
        <v>718</v>
      </c>
      <c r="D85" s="279"/>
      <c r="E85" s="309">
        <f>L44</f>
        <v>50952.16953013774</v>
      </c>
      <c r="F85" s="279"/>
      <c r="G85" s="279"/>
      <c r="H85" s="276" t="s">
        <v>717</v>
      </c>
    </row>
  </sheetData>
  <mergeCells count="3">
    <mergeCell ref="D72:G72"/>
    <mergeCell ref="D73:E73"/>
    <mergeCell ref="F73:G73"/>
  </mergeCells>
  <pageMargins left="0.7" right="0.7" top="0.75" bottom="0.75" header="0.3" footer="0.3"/>
  <pageSetup orientation="portrait" r:id="rId1"/>
  <headerFooter>
    <oddFooter>&amp;C&amp;1#&amp;"Calibri"&amp;10&amp;K000000CONFIDENTIAL</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3223E-3C37-48E4-977A-32D6FE576D0C}">
  <sheetPr>
    <tabColor rgb="FFFF0000"/>
  </sheetPr>
  <dimension ref="A1:J18"/>
  <sheetViews>
    <sheetView workbookViewId="0"/>
  </sheetViews>
  <sheetFormatPr defaultColWidth="8.77734375" defaultRowHeight="14.4"/>
  <cols>
    <col min="1" max="1" width="16.21875" style="274" customWidth="1"/>
    <col min="2" max="16384" width="8.77734375" style="274"/>
  </cols>
  <sheetData>
    <row r="1" spans="1:10" s="265" customFormat="1" ht="17.399999999999999">
      <c r="A1" s="264" t="s">
        <v>605</v>
      </c>
    </row>
    <row r="2" spans="1:10" s="265" customFormat="1" ht="15.6">
      <c r="A2" s="266" t="s">
        <v>606</v>
      </c>
      <c r="B2" s="267"/>
      <c r="C2" s="267"/>
      <c r="D2" s="267"/>
      <c r="E2" s="267"/>
      <c r="F2" s="267"/>
      <c r="G2" s="267"/>
      <c r="H2" s="267"/>
      <c r="I2" s="267"/>
      <c r="J2" s="267"/>
    </row>
    <row r="3" spans="1:10" s="265" customFormat="1" ht="15.6">
      <c r="A3" s="341" t="s">
        <v>775</v>
      </c>
    </row>
    <row r="4" spans="1:10" s="265" customFormat="1" ht="15.6">
      <c r="A4" s="341"/>
    </row>
    <row r="5" spans="1:10" s="265" customFormat="1" ht="15.6">
      <c r="A5" s="314" t="s">
        <v>776</v>
      </c>
    </row>
    <row r="6" spans="1:10" s="265" customFormat="1" ht="16.2" thickBot="1">
      <c r="A6" s="315"/>
    </row>
    <row r="7" spans="1:10" s="265" customFormat="1" ht="16.2" thickBot="1">
      <c r="A7" s="342" t="s">
        <v>374</v>
      </c>
      <c r="B7" s="311">
        <v>1</v>
      </c>
      <c r="C7" s="311">
        <v>2</v>
      </c>
      <c r="D7" s="311">
        <v>3</v>
      </c>
      <c r="E7" s="311">
        <v>4</v>
      </c>
      <c r="F7" s="311">
        <v>5</v>
      </c>
    </row>
    <row r="8" spans="1:10" s="265" customFormat="1" ht="24.6" customHeight="1" thickBot="1">
      <c r="A8" s="343" t="s">
        <v>199</v>
      </c>
      <c r="B8" s="313">
        <v>10000</v>
      </c>
      <c r="C8" s="313">
        <v>8499</v>
      </c>
      <c r="D8" s="313">
        <v>7476</v>
      </c>
      <c r="E8" s="313">
        <v>6801</v>
      </c>
      <c r="F8" s="313">
        <v>6321</v>
      </c>
    </row>
    <row r="9" spans="1:10" s="265" customFormat="1" ht="33.6" customHeight="1" thickBot="1">
      <c r="A9" s="343" t="s">
        <v>607</v>
      </c>
      <c r="B9" s="313">
        <v>3806</v>
      </c>
      <c r="C9" s="313">
        <v>4738</v>
      </c>
      <c r="D9" s="313">
        <v>5407</v>
      </c>
      <c r="E9" s="313">
        <v>5561</v>
      </c>
      <c r="F9" s="313">
        <v>5806</v>
      </c>
    </row>
    <row r="10" spans="1:10" s="265" customFormat="1" ht="15.6">
      <c r="A10" s="268"/>
    </row>
    <row r="11" spans="1:10" s="265" customFormat="1" ht="15.6">
      <c r="A11" s="314" t="s">
        <v>777</v>
      </c>
    </row>
    <row r="12" spans="1:10" s="265" customFormat="1" ht="15.6">
      <c r="A12" s="314" t="s">
        <v>778</v>
      </c>
    </row>
    <row r="13" spans="1:10" s="265" customFormat="1" ht="15.6">
      <c r="A13" s="314" t="s">
        <v>779</v>
      </c>
    </row>
    <row r="14" spans="1:10" s="265" customFormat="1" ht="15.6">
      <c r="A14" s="344"/>
    </row>
    <row r="15" spans="1:10" s="265" customFormat="1" ht="15.6">
      <c r="A15" s="315" t="s">
        <v>786</v>
      </c>
    </row>
    <row r="16" spans="1:10" s="265" customFormat="1" ht="15.6">
      <c r="A16" s="315"/>
    </row>
    <row r="17" spans="1:1" s="265" customFormat="1" ht="15.6">
      <c r="A17" s="268" t="s">
        <v>608</v>
      </c>
    </row>
    <row r="18" spans="1:1" ht="15.6">
      <c r="A18" s="350" t="s">
        <v>24</v>
      </c>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93D6D-2BEB-4A24-9B8E-6A88B9B5CA50}">
  <sheetPr>
    <tabColor rgb="FFFF0000"/>
  </sheetPr>
  <dimension ref="A1:J25"/>
  <sheetViews>
    <sheetView workbookViewId="0"/>
  </sheetViews>
  <sheetFormatPr defaultColWidth="8.77734375" defaultRowHeight="14.4"/>
  <cols>
    <col min="1" max="1" width="16.21875" style="274" customWidth="1"/>
    <col min="2" max="16384" width="8.77734375" style="274"/>
  </cols>
  <sheetData>
    <row r="1" spans="1:10" s="265" customFormat="1" ht="17.399999999999999">
      <c r="A1" s="264" t="s">
        <v>605</v>
      </c>
    </row>
    <row r="2" spans="1:10" s="265" customFormat="1" ht="15.6">
      <c r="A2" s="266" t="s">
        <v>606</v>
      </c>
      <c r="B2" s="267"/>
      <c r="C2" s="267"/>
      <c r="D2" s="267"/>
      <c r="E2" s="267"/>
      <c r="F2" s="267"/>
      <c r="G2" s="267"/>
      <c r="H2" s="267"/>
      <c r="I2" s="267"/>
      <c r="J2" s="267"/>
    </row>
    <row r="3" spans="1:10" s="265" customFormat="1" ht="15.6">
      <c r="A3" s="341" t="s">
        <v>775</v>
      </c>
    </row>
    <row r="4" spans="1:10" s="265" customFormat="1" ht="15.6">
      <c r="A4" s="341"/>
    </row>
    <row r="5" spans="1:10" s="265" customFormat="1" ht="15.6">
      <c r="A5" s="314" t="s">
        <v>776</v>
      </c>
    </row>
    <row r="6" spans="1:10" s="265" customFormat="1" ht="16.2" thickBot="1">
      <c r="A6" s="315"/>
    </row>
    <row r="7" spans="1:10" s="265" customFormat="1" ht="16.2" thickBot="1">
      <c r="A7" s="342" t="s">
        <v>374</v>
      </c>
      <c r="B7" s="311">
        <v>1</v>
      </c>
      <c r="C7" s="311">
        <v>2</v>
      </c>
      <c r="D7" s="311">
        <v>3</v>
      </c>
      <c r="E7" s="311">
        <v>4</v>
      </c>
      <c r="F7" s="311">
        <v>5</v>
      </c>
    </row>
    <row r="8" spans="1:10" s="265" customFormat="1" ht="24.6" customHeight="1" thickBot="1">
      <c r="A8" s="343" t="s">
        <v>199</v>
      </c>
      <c r="B8" s="313">
        <v>10000</v>
      </c>
      <c r="C8" s="313">
        <v>8499</v>
      </c>
      <c r="D8" s="313">
        <v>7476</v>
      </c>
      <c r="E8" s="313">
        <v>6801</v>
      </c>
      <c r="F8" s="313">
        <v>6321</v>
      </c>
    </row>
    <row r="9" spans="1:10" s="265" customFormat="1" ht="33.6" customHeight="1" thickBot="1">
      <c r="A9" s="343" t="s">
        <v>607</v>
      </c>
      <c r="B9" s="313">
        <v>3806</v>
      </c>
      <c r="C9" s="313">
        <v>4738</v>
      </c>
      <c r="D9" s="313">
        <v>5407</v>
      </c>
      <c r="E9" s="313">
        <v>5561</v>
      </c>
      <c r="F9" s="313">
        <v>5806</v>
      </c>
    </row>
    <row r="10" spans="1:10" s="265" customFormat="1" ht="15.6">
      <c r="A10" s="268"/>
    </row>
    <row r="11" spans="1:10" s="265" customFormat="1" ht="15.6">
      <c r="A11" s="314" t="s">
        <v>777</v>
      </c>
    </row>
    <row r="12" spans="1:10" s="265" customFormat="1" ht="15.6">
      <c r="A12" s="314" t="s">
        <v>778</v>
      </c>
    </row>
    <row r="13" spans="1:10" s="265" customFormat="1" ht="15.6">
      <c r="A13" s="314" t="s">
        <v>779</v>
      </c>
    </row>
    <row r="14" spans="1:10" s="265" customFormat="1" ht="15.6">
      <c r="A14" s="344"/>
    </row>
    <row r="15" spans="1:10" s="265" customFormat="1" ht="15.6">
      <c r="A15" s="315" t="s">
        <v>785</v>
      </c>
    </row>
    <row r="16" spans="1:10" s="265" customFormat="1" ht="15.6">
      <c r="A16" s="315" t="s">
        <v>609</v>
      </c>
    </row>
    <row r="17" spans="1:1" s="265" customFormat="1" ht="15.6">
      <c r="A17" s="315"/>
    </row>
    <row r="18" spans="1:1" s="265" customFormat="1" ht="15.6">
      <c r="A18" s="315" t="s">
        <v>610</v>
      </c>
    </row>
    <row r="19" spans="1:1" ht="15.6">
      <c r="A19" s="349" t="s">
        <v>24</v>
      </c>
    </row>
    <row r="20" spans="1:1" ht="15.6">
      <c r="A20" s="349"/>
    </row>
    <row r="21" spans="1:1" ht="15.6">
      <c r="A21" s="349"/>
    </row>
    <row r="22" spans="1:1" ht="15.6">
      <c r="A22" s="349"/>
    </row>
    <row r="23" spans="1:1" ht="15.6">
      <c r="A23" s="349"/>
    </row>
    <row r="24" spans="1:1" ht="15.6">
      <c r="A24" s="349"/>
    </row>
    <row r="25" spans="1:1" ht="15.6">
      <c r="A25" s="349"/>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EEBFE-9728-47CA-85EC-6FBDA810236C}">
  <sheetPr>
    <tabColor rgb="FFFF0000"/>
  </sheetPr>
  <dimension ref="A1:J22"/>
  <sheetViews>
    <sheetView workbookViewId="0"/>
  </sheetViews>
  <sheetFormatPr defaultColWidth="8.77734375" defaultRowHeight="14.4"/>
  <cols>
    <col min="1" max="1" width="16.21875" style="274" customWidth="1"/>
    <col min="2" max="16384" width="8.77734375" style="274"/>
  </cols>
  <sheetData>
    <row r="1" spans="1:10" s="265" customFormat="1" ht="17.399999999999999">
      <c r="A1" s="264" t="s">
        <v>605</v>
      </c>
    </row>
    <row r="2" spans="1:10" s="265" customFormat="1" ht="15.6">
      <c r="A2" s="266" t="s">
        <v>606</v>
      </c>
      <c r="B2" s="267"/>
      <c r="C2" s="267"/>
      <c r="D2" s="267"/>
      <c r="E2" s="267"/>
      <c r="F2" s="267"/>
      <c r="G2" s="267"/>
      <c r="H2" s="267"/>
      <c r="I2" s="267"/>
      <c r="J2" s="267"/>
    </row>
    <row r="3" spans="1:10" s="265" customFormat="1" ht="15.6">
      <c r="A3" s="341" t="s">
        <v>775</v>
      </c>
    </row>
    <row r="4" spans="1:10" s="265" customFormat="1" ht="15.6">
      <c r="A4" s="341"/>
    </row>
    <row r="5" spans="1:10" s="265" customFormat="1" ht="15.6">
      <c r="A5" s="314" t="s">
        <v>776</v>
      </c>
    </row>
    <row r="6" spans="1:10" s="265" customFormat="1" ht="16.2" thickBot="1">
      <c r="A6" s="315"/>
    </row>
    <row r="7" spans="1:10" s="265" customFormat="1" ht="16.2" thickBot="1">
      <c r="A7" s="342" t="s">
        <v>374</v>
      </c>
      <c r="B7" s="311">
        <v>1</v>
      </c>
      <c r="C7" s="311">
        <v>2</v>
      </c>
      <c r="D7" s="311">
        <v>3</v>
      </c>
      <c r="E7" s="311">
        <v>4</v>
      </c>
      <c r="F7" s="311">
        <v>5</v>
      </c>
    </row>
    <row r="8" spans="1:10" s="265" customFormat="1" ht="24.6" customHeight="1" thickBot="1">
      <c r="A8" s="343" t="s">
        <v>199</v>
      </c>
      <c r="B8" s="313">
        <v>10000</v>
      </c>
      <c r="C8" s="313">
        <v>8499</v>
      </c>
      <c r="D8" s="313">
        <v>7476</v>
      </c>
      <c r="E8" s="313">
        <v>6801</v>
      </c>
      <c r="F8" s="313">
        <v>6321</v>
      </c>
    </row>
    <row r="9" spans="1:10" s="265" customFormat="1" ht="33.6" customHeight="1" thickBot="1">
      <c r="A9" s="343" t="s">
        <v>607</v>
      </c>
      <c r="B9" s="313">
        <v>3806</v>
      </c>
      <c r="C9" s="313">
        <v>4738</v>
      </c>
      <c r="D9" s="313">
        <v>5407</v>
      </c>
      <c r="E9" s="313">
        <v>5561</v>
      </c>
      <c r="F9" s="313">
        <v>5806</v>
      </c>
    </row>
    <row r="10" spans="1:10" s="265" customFormat="1" ht="15.6">
      <c r="A10" s="268"/>
    </row>
    <row r="11" spans="1:10" s="265" customFormat="1" ht="15.6">
      <c r="A11" s="314" t="s">
        <v>777</v>
      </c>
    </row>
    <row r="12" spans="1:10" s="265" customFormat="1" ht="15.6">
      <c r="A12" s="314" t="s">
        <v>778</v>
      </c>
    </row>
    <row r="13" spans="1:10" s="265" customFormat="1" ht="15.6">
      <c r="A13" s="314" t="s">
        <v>779</v>
      </c>
    </row>
    <row r="14" spans="1:10" s="265" customFormat="1" ht="15.6">
      <c r="A14" s="344"/>
    </row>
    <row r="15" spans="1:10" s="265" customFormat="1" ht="15.6">
      <c r="A15" s="315" t="s">
        <v>780</v>
      </c>
    </row>
    <row r="16" spans="1:10" s="265" customFormat="1" ht="15.6">
      <c r="A16" s="315"/>
    </row>
    <row r="17" spans="1:1" s="265" customFormat="1" ht="15.6">
      <c r="A17" s="345" t="s">
        <v>784</v>
      </c>
    </row>
    <row r="18" spans="1:1" ht="15.6">
      <c r="A18" s="318" t="s">
        <v>24</v>
      </c>
    </row>
    <row r="19" spans="1:1" ht="15.6">
      <c r="A19" s="348"/>
    </row>
    <row r="20" spans="1:1" ht="15.6">
      <c r="A20" s="348"/>
    </row>
    <row r="21" spans="1:1" ht="15.6">
      <c r="A21" s="348"/>
    </row>
    <row r="22" spans="1:1" ht="15.6">
      <c r="A22" s="347"/>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AE92E-98F6-48D9-AAA0-96D670272122}">
  <sheetPr>
    <tabColor rgb="FFFF0000"/>
  </sheetPr>
  <dimension ref="A1:J26"/>
  <sheetViews>
    <sheetView workbookViewId="0"/>
  </sheetViews>
  <sheetFormatPr defaultColWidth="8.77734375" defaultRowHeight="14.4"/>
  <cols>
    <col min="1" max="1" width="16.21875" style="274" customWidth="1"/>
    <col min="2" max="16384" width="8.77734375" style="274"/>
  </cols>
  <sheetData>
    <row r="1" spans="1:10" s="265" customFormat="1" ht="17.399999999999999">
      <c r="A1" s="264" t="s">
        <v>605</v>
      </c>
    </row>
    <row r="2" spans="1:10" s="265" customFormat="1" ht="15.6">
      <c r="A2" s="266" t="s">
        <v>606</v>
      </c>
      <c r="B2" s="267"/>
      <c r="C2" s="267"/>
      <c r="D2" s="267"/>
      <c r="E2" s="267"/>
      <c r="F2" s="267"/>
      <c r="G2" s="267"/>
      <c r="H2" s="267"/>
      <c r="I2" s="267"/>
      <c r="J2" s="267"/>
    </row>
    <row r="3" spans="1:10" s="265" customFormat="1" ht="15.6">
      <c r="A3" s="341" t="s">
        <v>775</v>
      </c>
    </row>
    <row r="4" spans="1:10" s="265" customFormat="1" ht="15.6">
      <c r="A4" s="341"/>
    </row>
    <row r="5" spans="1:10" s="265" customFormat="1" ht="15.6">
      <c r="A5" s="314" t="s">
        <v>776</v>
      </c>
    </row>
    <row r="6" spans="1:10" s="265" customFormat="1" ht="16.2" thickBot="1">
      <c r="A6" s="315"/>
    </row>
    <row r="7" spans="1:10" s="265" customFormat="1" ht="16.2" thickBot="1">
      <c r="A7" s="342" t="s">
        <v>374</v>
      </c>
      <c r="B7" s="311">
        <v>1</v>
      </c>
      <c r="C7" s="311">
        <v>2</v>
      </c>
      <c r="D7" s="311">
        <v>3</v>
      </c>
      <c r="E7" s="311">
        <v>4</v>
      </c>
      <c r="F7" s="311">
        <v>5</v>
      </c>
    </row>
    <row r="8" spans="1:10" s="265" customFormat="1" ht="24.6" customHeight="1" thickBot="1">
      <c r="A8" s="343" t="s">
        <v>199</v>
      </c>
      <c r="B8" s="313">
        <v>10000</v>
      </c>
      <c r="C8" s="313">
        <v>8499</v>
      </c>
      <c r="D8" s="313">
        <v>7476</v>
      </c>
      <c r="E8" s="313">
        <v>6801</v>
      </c>
      <c r="F8" s="313">
        <v>6321</v>
      </c>
    </row>
    <row r="9" spans="1:10" s="265" customFormat="1" ht="33.6" customHeight="1" thickBot="1">
      <c r="A9" s="343" t="s">
        <v>607</v>
      </c>
      <c r="B9" s="313">
        <v>3806</v>
      </c>
      <c r="C9" s="313">
        <v>4738</v>
      </c>
      <c r="D9" s="313">
        <v>5407</v>
      </c>
      <c r="E9" s="313">
        <v>5561</v>
      </c>
      <c r="F9" s="313">
        <v>5806</v>
      </c>
    </row>
    <row r="10" spans="1:10" s="265" customFormat="1" ht="15.6">
      <c r="A10" s="268"/>
    </row>
    <row r="11" spans="1:10" s="265" customFormat="1" ht="15.6">
      <c r="A11" s="314" t="s">
        <v>777</v>
      </c>
    </row>
    <row r="12" spans="1:10" s="265" customFormat="1" ht="15.6">
      <c r="A12" s="314" t="s">
        <v>778</v>
      </c>
    </row>
    <row r="13" spans="1:10" s="265" customFormat="1" ht="15.6">
      <c r="A13" s="314" t="s">
        <v>779</v>
      </c>
    </row>
    <row r="14" spans="1:10" s="265" customFormat="1" ht="15.6">
      <c r="A14" s="344"/>
    </row>
    <row r="15" spans="1:10" s="265" customFormat="1" ht="15.6">
      <c r="A15" s="315" t="s">
        <v>780</v>
      </c>
    </row>
    <row r="16" spans="1:10" s="265" customFormat="1" ht="15.6">
      <c r="A16" s="315"/>
    </row>
    <row r="17" spans="1:1" s="265" customFormat="1" ht="15.6">
      <c r="A17" s="345" t="s">
        <v>783</v>
      </c>
    </row>
    <row r="18" spans="1:1" ht="15.6">
      <c r="A18" s="318" t="s">
        <v>24</v>
      </c>
    </row>
    <row r="19" spans="1:1" ht="15.6">
      <c r="A19" s="318"/>
    </row>
    <row r="20" spans="1:1" ht="15.6">
      <c r="A20" s="318"/>
    </row>
    <row r="21" spans="1:1" ht="15.6">
      <c r="A21" s="318"/>
    </row>
    <row r="22" spans="1:1" ht="15.6">
      <c r="A22" s="318"/>
    </row>
    <row r="23" spans="1:1" ht="15.6">
      <c r="A23" s="318"/>
    </row>
    <row r="24" spans="1:1" ht="15.6">
      <c r="A24" s="318"/>
    </row>
    <row r="25" spans="1:1" ht="15.6">
      <c r="A25" s="318"/>
    </row>
    <row r="26" spans="1:1" ht="15.6">
      <c r="A26" s="318"/>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C0A92-B5D0-468E-A612-91FB2C4DA842}">
  <sheetPr>
    <tabColor rgb="FFFF0000"/>
  </sheetPr>
  <dimension ref="A1:J28"/>
  <sheetViews>
    <sheetView workbookViewId="0"/>
  </sheetViews>
  <sheetFormatPr defaultColWidth="8.77734375" defaultRowHeight="14.4"/>
  <cols>
    <col min="1" max="1" width="16.21875" style="274" customWidth="1"/>
    <col min="2" max="16384" width="8.77734375" style="274"/>
  </cols>
  <sheetData>
    <row r="1" spans="1:10" s="265" customFormat="1" ht="17.399999999999999">
      <c r="A1" s="264" t="s">
        <v>605</v>
      </c>
    </row>
    <row r="2" spans="1:10" s="265" customFormat="1" ht="15.6">
      <c r="A2" s="266" t="s">
        <v>606</v>
      </c>
      <c r="B2" s="267"/>
      <c r="C2" s="267"/>
      <c r="D2" s="267"/>
      <c r="E2" s="267"/>
      <c r="F2" s="267"/>
      <c r="G2" s="267"/>
      <c r="H2" s="267"/>
      <c r="I2" s="267"/>
      <c r="J2" s="267"/>
    </row>
    <row r="3" spans="1:10" s="265" customFormat="1" ht="15.6">
      <c r="A3" s="341" t="s">
        <v>775</v>
      </c>
    </row>
    <row r="4" spans="1:10" s="265" customFormat="1" ht="15.6">
      <c r="A4" s="341"/>
    </row>
    <row r="5" spans="1:10" s="265" customFormat="1" ht="15.6">
      <c r="A5" s="314" t="s">
        <v>776</v>
      </c>
    </row>
    <row r="6" spans="1:10" s="265" customFormat="1" ht="16.2" thickBot="1">
      <c r="A6" s="315"/>
    </row>
    <row r="7" spans="1:10" s="265" customFormat="1" ht="16.2" thickBot="1">
      <c r="A7" s="342" t="s">
        <v>374</v>
      </c>
      <c r="B7" s="311">
        <v>1</v>
      </c>
      <c r="C7" s="311">
        <v>2</v>
      </c>
      <c r="D7" s="311">
        <v>3</v>
      </c>
      <c r="E7" s="311">
        <v>4</v>
      </c>
      <c r="F7" s="311">
        <v>5</v>
      </c>
    </row>
    <row r="8" spans="1:10" s="265" customFormat="1" ht="24.6" customHeight="1" thickBot="1">
      <c r="A8" s="343" t="s">
        <v>199</v>
      </c>
      <c r="B8" s="313">
        <v>10000</v>
      </c>
      <c r="C8" s="313">
        <v>8499</v>
      </c>
      <c r="D8" s="313">
        <v>7476</v>
      </c>
      <c r="E8" s="313">
        <v>6801</v>
      </c>
      <c r="F8" s="313">
        <v>6321</v>
      </c>
    </row>
    <row r="9" spans="1:10" s="265" customFormat="1" ht="33.6" customHeight="1" thickBot="1">
      <c r="A9" s="343" t="s">
        <v>607</v>
      </c>
      <c r="B9" s="313">
        <v>3806</v>
      </c>
      <c r="C9" s="313">
        <v>4738</v>
      </c>
      <c r="D9" s="313">
        <v>5407</v>
      </c>
      <c r="E9" s="313">
        <v>5561</v>
      </c>
      <c r="F9" s="313">
        <v>5806</v>
      </c>
    </row>
    <row r="10" spans="1:10" s="265" customFormat="1" ht="15.6">
      <c r="A10" s="268"/>
    </row>
    <row r="11" spans="1:10" s="265" customFormat="1" ht="15.6">
      <c r="A11" s="314" t="s">
        <v>777</v>
      </c>
    </row>
    <row r="12" spans="1:10" s="265" customFormat="1" ht="15.6">
      <c r="A12" s="314" t="s">
        <v>778</v>
      </c>
    </row>
    <row r="13" spans="1:10" s="265" customFormat="1" ht="15.6">
      <c r="A13" s="314" t="s">
        <v>779</v>
      </c>
    </row>
    <row r="14" spans="1:10" s="265" customFormat="1" ht="15.6">
      <c r="A14" s="344"/>
    </row>
    <row r="15" spans="1:10" s="265" customFormat="1" ht="15.6">
      <c r="A15" s="315" t="s">
        <v>780</v>
      </c>
    </row>
    <row r="16" spans="1:10" s="265" customFormat="1" ht="15.6">
      <c r="A16" s="315"/>
    </row>
    <row r="17" spans="1:1" s="265" customFormat="1" ht="15.6">
      <c r="A17" s="345" t="s">
        <v>782</v>
      </c>
    </row>
    <row r="18" spans="1:1" ht="15.6">
      <c r="A18" s="318" t="s">
        <v>24</v>
      </c>
    </row>
    <row r="19" spans="1:1" ht="15.6">
      <c r="A19" s="318"/>
    </row>
    <row r="20" spans="1:1" ht="15.6">
      <c r="A20" s="318"/>
    </row>
    <row r="21" spans="1:1" ht="15.6">
      <c r="A21" s="318"/>
    </row>
    <row r="22" spans="1:1" ht="15.6">
      <c r="A22" s="318"/>
    </row>
    <row r="23" spans="1:1" ht="15.6">
      <c r="A23" s="318"/>
    </row>
    <row r="24" spans="1:1" ht="15.6">
      <c r="A24" s="318"/>
    </row>
    <row r="25" spans="1:1" ht="15.6">
      <c r="A25" s="318"/>
    </row>
    <row r="26" spans="1:1" ht="15.6">
      <c r="A26" s="318"/>
    </row>
    <row r="27" spans="1:1" ht="15.6">
      <c r="A27" s="318"/>
    </row>
    <row r="28" spans="1:1" ht="15.6">
      <c r="A28" s="318"/>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B872C-0579-40E3-B257-B4081C965C7B}">
  <sheetPr>
    <tabColor rgb="FFFF0000"/>
  </sheetPr>
  <dimension ref="A1:J20"/>
  <sheetViews>
    <sheetView workbookViewId="0"/>
  </sheetViews>
  <sheetFormatPr defaultColWidth="8.77734375" defaultRowHeight="14.4"/>
  <cols>
    <col min="1" max="1" width="16.21875" style="274" customWidth="1"/>
    <col min="2" max="16384" width="8.77734375" style="274"/>
  </cols>
  <sheetData>
    <row r="1" spans="1:10" s="265" customFormat="1" ht="17.399999999999999">
      <c r="A1" s="264" t="s">
        <v>605</v>
      </c>
    </row>
    <row r="2" spans="1:10" s="265" customFormat="1" ht="15.6">
      <c r="A2" s="266" t="s">
        <v>606</v>
      </c>
      <c r="B2" s="267"/>
      <c r="C2" s="267"/>
      <c r="D2" s="267"/>
      <c r="E2" s="267"/>
      <c r="F2" s="267"/>
      <c r="G2" s="267"/>
      <c r="H2" s="267"/>
      <c r="I2" s="267"/>
      <c r="J2" s="267"/>
    </row>
    <row r="3" spans="1:10" s="265" customFormat="1" ht="15.6">
      <c r="A3" s="341" t="s">
        <v>775</v>
      </c>
    </row>
    <row r="4" spans="1:10" s="265" customFormat="1" ht="15.6">
      <c r="A4" s="341"/>
    </row>
    <row r="5" spans="1:10" s="265" customFormat="1" ht="15.6">
      <c r="A5" s="314" t="s">
        <v>776</v>
      </c>
    </row>
    <row r="6" spans="1:10" s="265" customFormat="1" ht="16.2" thickBot="1">
      <c r="A6" s="315"/>
    </row>
    <row r="7" spans="1:10" s="265" customFormat="1" ht="16.2" thickBot="1">
      <c r="A7" s="342" t="s">
        <v>374</v>
      </c>
      <c r="B7" s="311">
        <v>1</v>
      </c>
      <c r="C7" s="311">
        <v>2</v>
      </c>
      <c r="D7" s="311">
        <v>3</v>
      </c>
      <c r="E7" s="311">
        <v>4</v>
      </c>
      <c r="F7" s="311">
        <v>5</v>
      </c>
    </row>
    <row r="8" spans="1:10" s="265" customFormat="1" ht="24.6" customHeight="1" thickBot="1">
      <c r="A8" s="343" t="s">
        <v>199</v>
      </c>
      <c r="B8" s="313">
        <v>10000</v>
      </c>
      <c r="C8" s="313">
        <v>8499</v>
      </c>
      <c r="D8" s="313">
        <v>7476</v>
      </c>
      <c r="E8" s="313">
        <v>6801</v>
      </c>
      <c r="F8" s="313">
        <v>6321</v>
      </c>
    </row>
    <row r="9" spans="1:10" s="265" customFormat="1" ht="33.6" customHeight="1" thickBot="1">
      <c r="A9" s="343" t="s">
        <v>607</v>
      </c>
      <c r="B9" s="313">
        <v>3806</v>
      </c>
      <c r="C9" s="313">
        <v>4738</v>
      </c>
      <c r="D9" s="313">
        <v>5407</v>
      </c>
      <c r="E9" s="313">
        <v>5561</v>
      </c>
      <c r="F9" s="313">
        <v>5806</v>
      </c>
    </row>
    <row r="10" spans="1:10" s="265" customFormat="1" ht="15.6">
      <c r="A10" s="268"/>
    </row>
    <row r="11" spans="1:10" s="265" customFormat="1" ht="15.6">
      <c r="A11" s="314" t="s">
        <v>777</v>
      </c>
    </row>
    <row r="12" spans="1:10" s="265" customFormat="1" ht="15.6">
      <c r="A12" s="314" t="s">
        <v>778</v>
      </c>
    </row>
    <row r="13" spans="1:10" s="265" customFormat="1" ht="15.6">
      <c r="A13" s="314" t="s">
        <v>779</v>
      </c>
    </row>
    <row r="14" spans="1:10" s="265" customFormat="1" ht="15.6">
      <c r="A14" s="344"/>
    </row>
    <row r="15" spans="1:10" s="265" customFormat="1" ht="15.6">
      <c r="A15" s="315" t="s">
        <v>780</v>
      </c>
    </row>
    <row r="16" spans="1:10" s="265" customFormat="1" ht="15.6">
      <c r="A16" s="315"/>
    </row>
    <row r="17" spans="1:1" s="265" customFormat="1" ht="15.6">
      <c r="A17" s="345" t="s">
        <v>781</v>
      </c>
    </row>
    <row r="18" spans="1:1" ht="15.6">
      <c r="A18" s="346" t="s">
        <v>24</v>
      </c>
    </row>
    <row r="19" spans="1:1" ht="15.6">
      <c r="A19" s="347"/>
    </row>
    <row r="20" spans="1:1" ht="15.6">
      <c r="A20" s="347"/>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E9408-415F-48B8-9636-06957BE8D46C}">
  <sheetPr>
    <tabColor rgb="FFFF0000"/>
  </sheetPr>
  <dimension ref="A1:O66"/>
  <sheetViews>
    <sheetView zoomScale="70" zoomScaleNormal="70" workbookViewId="0"/>
  </sheetViews>
  <sheetFormatPr defaultColWidth="8.77734375" defaultRowHeight="13.2"/>
  <cols>
    <col min="1" max="1" width="8.77734375" style="320"/>
    <col min="2" max="2" width="19.44140625" style="320" bestFit="1" customWidth="1"/>
    <col min="3" max="3" width="20.77734375" style="320" customWidth="1"/>
    <col min="4" max="4" width="12.44140625" style="320" bestFit="1" customWidth="1"/>
    <col min="5" max="5" width="12.5546875" style="320" customWidth="1"/>
    <col min="6" max="6" width="12.44140625" style="320" bestFit="1" customWidth="1"/>
    <col min="7" max="7" width="17.21875" style="320" bestFit="1" customWidth="1"/>
    <col min="8" max="8" width="12.5546875" style="320" bestFit="1" customWidth="1"/>
    <col min="9" max="9" width="10.44140625" style="320" bestFit="1" customWidth="1"/>
    <col min="10" max="11" width="12.5546875" style="320" bestFit="1" customWidth="1"/>
    <col min="12" max="16384" width="8.77734375" style="320"/>
  </cols>
  <sheetData>
    <row r="1" spans="1:15">
      <c r="A1" s="319" t="s">
        <v>719</v>
      </c>
      <c r="D1" s="321" t="s">
        <v>720</v>
      </c>
      <c r="E1" s="321" t="s">
        <v>721</v>
      </c>
      <c r="F1" s="320" t="s">
        <v>722</v>
      </c>
      <c r="H1" s="321" t="s">
        <v>723</v>
      </c>
    </row>
    <row r="2" spans="1:15">
      <c r="A2" s="320" t="s">
        <v>660</v>
      </c>
      <c r="B2" s="320" t="s">
        <v>724</v>
      </c>
      <c r="C2" s="322">
        <v>5.5E-2</v>
      </c>
      <c r="D2" s="321" t="s">
        <v>725</v>
      </c>
      <c r="E2" s="321" t="s">
        <v>726</v>
      </c>
      <c r="F2" s="321" t="s">
        <v>726</v>
      </c>
      <c r="G2" s="321" t="s">
        <v>723</v>
      </c>
      <c r="H2" s="321" t="s">
        <v>727</v>
      </c>
      <c r="J2" s="321" t="s">
        <v>728</v>
      </c>
      <c r="K2" s="321" t="s">
        <v>728</v>
      </c>
    </row>
    <row r="3" spans="1:15">
      <c r="B3" s="323" t="s">
        <v>374</v>
      </c>
      <c r="C3" s="323" t="s">
        <v>729</v>
      </c>
      <c r="D3" s="323" t="s">
        <v>730</v>
      </c>
      <c r="E3" s="323" t="s">
        <v>731</v>
      </c>
      <c r="F3" s="323" t="s">
        <v>731</v>
      </c>
      <c r="G3" s="323" t="s">
        <v>732</v>
      </c>
      <c r="H3" s="323" t="s">
        <v>725</v>
      </c>
      <c r="I3" s="323" t="s">
        <v>733</v>
      </c>
      <c r="J3" s="323" t="s">
        <v>734</v>
      </c>
      <c r="K3" s="323" t="s">
        <v>734</v>
      </c>
      <c r="L3" s="324" t="s">
        <v>735</v>
      </c>
      <c r="M3" s="325"/>
      <c r="N3" s="325"/>
      <c r="O3" s="325"/>
    </row>
    <row r="4" spans="1:15">
      <c r="B4" s="320">
        <v>1</v>
      </c>
      <c r="C4" s="326">
        <v>10000</v>
      </c>
      <c r="D4" s="327">
        <v>3806</v>
      </c>
      <c r="E4" s="327">
        <f>(SUM(H5:H$9)-G$11*SUM(G5:G$9))*(1+C$2)^B4</f>
        <v>2524.0681318155825</v>
      </c>
      <c r="F4" s="327">
        <f>(G$11*C4)*(1+C$2)-D4</f>
        <v>2524.0681318155839</v>
      </c>
      <c r="G4" s="327">
        <f>C4*(1+C$2)^(-B4+1)</f>
        <v>10000</v>
      </c>
      <c r="H4" s="327">
        <f>D4*(1+C$2)^-B4</f>
        <v>3607.5829383886257</v>
      </c>
      <c r="I4" s="327">
        <f>C4-E4-D4/(1+C$2)+C$2/(1+C$2)*(E4)</f>
        <v>3999.9354200800167</v>
      </c>
      <c r="J4" s="327">
        <f>I4/C4</f>
        <v>0.39999354200800169</v>
      </c>
      <c r="K4" s="327">
        <f>1-G$11</f>
        <v>0.39999354200800152</v>
      </c>
    </row>
    <row r="5" spans="1:15">
      <c r="B5" s="320">
        <f>B4+1</f>
        <v>2</v>
      </c>
      <c r="C5" s="326">
        <v>8499</v>
      </c>
      <c r="D5" s="327">
        <v>4738</v>
      </c>
      <c r="E5" s="328">
        <f>(SUM(H6:H$9)-G$11*SUM(G6:G$9))*(1+C$2)^B5</f>
        <v>3304.8167842955027</v>
      </c>
      <c r="F5" s="328">
        <f>(F4+G$11*C5)*(1+C$2)-D5</f>
        <v>3304.8167842955054</v>
      </c>
      <c r="G5" s="327">
        <f>C5*(1+C$2)^(-B5+1)</f>
        <v>8055.9241706161138</v>
      </c>
      <c r="H5" s="327">
        <f>D5*(1+C$2)^-B5</f>
        <v>4256.8675456526134</v>
      </c>
      <c r="I5" s="327">
        <f>C5-D5/(1+C$2)-E5+E4+C$2/(1+C$2)*E5</f>
        <v>3399.5451135260068</v>
      </c>
      <c r="J5" s="327">
        <f>I5/C5</f>
        <v>0.39999354200800175</v>
      </c>
      <c r="K5" s="327">
        <f>1-G$11</f>
        <v>0.39999354200800152</v>
      </c>
    </row>
    <row r="6" spans="1:15">
      <c r="B6" s="320">
        <f>B5+1</f>
        <v>3</v>
      </c>
      <c r="C6" s="326">
        <v>7476</v>
      </c>
      <c r="D6" s="327">
        <v>5407</v>
      </c>
      <c r="E6" s="327">
        <f>(SUM(H7:H$9)-G$11*SUM(G7:G$9))*(1+C$2)^B6</f>
        <v>2811.9406427770841</v>
      </c>
      <c r="F6" s="327">
        <f>(F5+G$11*C6)*(1+C$2)-D6</f>
        <v>2811.9406427770882</v>
      </c>
      <c r="G6" s="327">
        <f>C6*(1+C$2)^(-B6+1)</f>
        <v>6716.8302598773616</v>
      </c>
      <c r="H6" s="327">
        <f>D6*(1+C$2)^-B6</f>
        <v>4604.675082241929</v>
      </c>
      <c r="I6" s="327">
        <f>C6-D6/(1+C$2)-E6+E5+C$2/(1+C$2)*E6</f>
        <v>2990.3517200518208</v>
      </c>
      <c r="J6" s="327">
        <f>I6/C6</f>
        <v>0.39999354200800175</v>
      </c>
      <c r="K6" s="327">
        <f>1-G$11</f>
        <v>0.39999354200800152</v>
      </c>
    </row>
    <row r="7" spans="1:15">
      <c r="B7" s="320">
        <f>B6+1</f>
        <v>4</v>
      </c>
      <c r="C7" s="326">
        <v>6801</v>
      </c>
      <c r="D7" s="327">
        <v>5561</v>
      </c>
      <c r="E7" s="327">
        <f>(SUM(H8:H$9)-G$11*SUM(G8:G$9))*(1+C$2)^B7</f>
        <v>1710.6767145776009</v>
      </c>
      <c r="F7" s="327">
        <f>(F6+G$11*C7)*(1+C$2)-D7</f>
        <v>1710.6767145776066</v>
      </c>
      <c r="G7" s="327">
        <f>C7*(1+C$2)^(-B7+1)</f>
        <v>5791.8245301141778</v>
      </c>
      <c r="H7" s="327">
        <f>D7*(1+C$2)^-B7</f>
        <v>4488.9323095035434</v>
      </c>
      <c r="I7" s="327">
        <f>C7-D7/(1+C$2)-E7+E6+C$2/(1+C$2)*E7</f>
        <v>2720.3560791964196</v>
      </c>
      <c r="J7" s="327">
        <f>I7/C7</f>
        <v>0.39999354200800169</v>
      </c>
      <c r="K7" s="327">
        <f>1-G$11</f>
        <v>0.39999354200800152</v>
      </c>
    </row>
    <row r="8" spans="1:15">
      <c r="B8" s="320">
        <f>B7+1</f>
        <v>5</v>
      </c>
      <c r="C8" s="326">
        <v>6321</v>
      </c>
      <c r="D8" s="327">
        <v>5806</v>
      </c>
      <c r="E8" s="327">
        <f>(SUM(H9:H$9)-G$11*SUM(G9:G$9))*(1+C$2)^B8</f>
        <v>0</v>
      </c>
      <c r="F8" s="327">
        <f>(F7+G$11*C8)*(1+C$2)-D8</f>
        <v>0</v>
      </c>
      <c r="G8" s="327">
        <f>C8*(1+C$2)^(-B8+1)</f>
        <v>5102.4170344132162</v>
      </c>
      <c r="H8" s="327">
        <f>D8*(1+C$2)^-B8</f>
        <v>4442.3700584005519</v>
      </c>
      <c r="I8" s="327">
        <f>C8-D8/(1+C$2)-E8+E7+C$2/(1+C$2)*E8</f>
        <v>2528.3591790325772</v>
      </c>
      <c r="J8" s="327">
        <f>I8/C8</f>
        <v>0.39999354200800147</v>
      </c>
      <c r="K8" s="327">
        <f>1-G$11</f>
        <v>0.39999354200800152</v>
      </c>
    </row>
    <row r="9" spans="1:15">
      <c r="C9" s="326"/>
      <c r="D9" s="326"/>
    </row>
    <row r="10" spans="1:15">
      <c r="C10" s="326"/>
      <c r="D10" s="326"/>
      <c r="E10" s="320" t="s">
        <v>736</v>
      </c>
      <c r="G10" s="327">
        <f>SUM(G4:G8)</f>
        <v>35666.995995020865</v>
      </c>
      <c r="H10" s="327">
        <f>SUM(H4:H8)</f>
        <v>21400.427934187264</v>
      </c>
    </row>
    <row r="11" spans="1:15">
      <c r="C11" s="326"/>
      <c r="D11" s="326"/>
      <c r="E11" s="320" t="s">
        <v>737</v>
      </c>
      <c r="G11" s="329">
        <f>H10/G10</f>
        <v>0.60000645799199848</v>
      </c>
    </row>
    <row r="12" spans="1:15">
      <c r="C12" s="326"/>
      <c r="D12" s="326"/>
      <c r="E12" s="319" t="s">
        <v>738</v>
      </c>
      <c r="F12" s="319"/>
      <c r="G12" s="330">
        <f>F5</f>
        <v>3304.8167842955054</v>
      </c>
    </row>
    <row r="13" spans="1:15">
      <c r="C13" s="326"/>
      <c r="D13" s="326"/>
    </row>
    <row r="16" spans="1:15">
      <c r="A16" s="320" t="s">
        <v>739</v>
      </c>
    </row>
    <row r="17" spans="1:15">
      <c r="D17" s="321" t="s">
        <v>720</v>
      </c>
      <c r="E17" s="321" t="s">
        <v>721</v>
      </c>
      <c r="F17" s="320" t="s">
        <v>722</v>
      </c>
      <c r="H17" s="321" t="s">
        <v>723</v>
      </c>
    </row>
    <row r="18" spans="1:15">
      <c r="B18" s="320" t="s">
        <v>724</v>
      </c>
      <c r="C18" s="322">
        <v>5.5E-2</v>
      </c>
      <c r="D18" s="321" t="s">
        <v>725</v>
      </c>
      <c r="E18" s="321" t="s">
        <v>726</v>
      </c>
      <c r="F18" s="321" t="s">
        <v>726</v>
      </c>
      <c r="G18" s="321" t="s">
        <v>723</v>
      </c>
      <c r="H18" s="321" t="s">
        <v>727</v>
      </c>
      <c r="J18" s="321" t="s">
        <v>728</v>
      </c>
      <c r="K18" s="321" t="s">
        <v>728</v>
      </c>
    </row>
    <row r="19" spans="1:15">
      <c r="A19" s="325"/>
      <c r="B19" s="323" t="s">
        <v>374</v>
      </c>
      <c r="C19" s="323" t="s">
        <v>729</v>
      </c>
      <c r="D19" s="323" t="s">
        <v>730</v>
      </c>
      <c r="E19" s="323" t="s">
        <v>731</v>
      </c>
      <c r="F19" s="323" t="s">
        <v>731</v>
      </c>
      <c r="G19" s="323" t="s">
        <v>732</v>
      </c>
      <c r="H19" s="323" t="s">
        <v>725</v>
      </c>
      <c r="I19" s="323" t="s">
        <v>733</v>
      </c>
      <c r="J19" s="323" t="s">
        <v>734</v>
      </c>
      <c r="K19" s="323" t="s">
        <v>734</v>
      </c>
      <c r="L19" s="324" t="s">
        <v>735</v>
      </c>
      <c r="M19" s="325"/>
      <c r="N19" s="325"/>
      <c r="O19" s="325"/>
    </row>
    <row r="20" spans="1:15">
      <c r="B20" s="320">
        <v>1</v>
      </c>
      <c r="C20" s="326">
        <v>10000</v>
      </c>
      <c r="D20" s="326">
        <v>3806</v>
      </c>
      <c r="E20" s="327">
        <f>(SUM(H21:H$25)-G$27*SUM(G21:G$25))*(1+C$18)^B20</f>
        <v>2728.3718056844177</v>
      </c>
      <c r="F20" s="327">
        <f>(G$27*C20)*(1+C$18)-D20</f>
        <v>2728.3718056844209</v>
      </c>
      <c r="G20" s="327">
        <f>C20*(1+C$18)^(-B20+1)</f>
        <v>10000</v>
      </c>
      <c r="H20" s="327">
        <f>D20*(1+C$18)^-B20</f>
        <v>3607.5829383886257</v>
      </c>
      <c r="I20" s="327">
        <f>C20-E20-D20/(1+C$18)+C$18/(1+C$18)*(E20)</f>
        <v>3806.2826486403628</v>
      </c>
      <c r="J20" s="329">
        <f>I20/C20</f>
        <v>0.38062826486403628</v>
      </c>
      <c r="K20" s="329">
        <f>1-G$27</f>
        <v>0.38062826486403589</v>
      </c>
    </row>
    <row r="21" spans="1:15">
      <c r="B21" s="320">
        <f>B20+1</f>
        <v>2</v>
      </c>
      <c r="C21" s="326">
        <v>8499</v>
      </c>
      <c r="D21" s="326">
        <v>4738</v>
      </c>
      <c r="E21" s="327">
        <f>(SUM(H22:H$25)-G$27*SUM(G22:G$25))*(1+C$18)^B21</f>
        <v>3693.994852648249</v>
      </c>
      <c r="F21" s="327">
        <f>(F20+G$27*C21)*(1+C$18)-D21</f>
        <v>3693.9948526482531</v>
      </c>
      <c r="G21" s="327">
        <f>C21*(1+C$18)^(-B21+1)</f>
        <v>8055.9241706161138</v>
      </c>
      <c r="H21" s="327">
        <f>D21*(1+C$18)^-B21</f>
        <v>4256.8675456526134</v>
      </c>
      <c r="I21" s="327">
        <f>C21-D21/(1+C$2)-E21+E20+C$2/(1+C$2)*E21</f>
        <v>3234.9596230794423</v>
      </c>
      <c r="J21" s="329">
        <f>I21/C21</f>
        <v>0.38062826486403606</v>
      </c>
      <c r="K21" s="329">
        <f>1-G$27</f>
        <v>0.38062826486403589</v>
      </c>
    </row>
    <row r="22" spans="1:15">
      <c r="B22" s="320">
        <f>B21+1</f>
        <v>3</v>
      </c>
      <c r="C22" s="326">
        <v>7476</v>
      </c>
      <c r="D22" s="326">
        <f>D6*1.15</f>
        <v>6218.0499999999993</v>
      </c>
      <c r="E22" s="328">
        <f>(SUM(H23:H$25)-G$27*SUM(G23:G$25))*(1+C$18)^B22</f>
        <v>2564.2109314735749</v>
      </c>
      <c r="F22" s="328">
        <f>(F21+G$27*C22)*(1+C$18)-D22</f>
        <v>2564.2109314735808</v>
      </c>
      <c r="G22" s="327">
        <f>C22*(1+C$18)^(-B22+1)</f>
        <v>6716.8302598773616</v>
      </c>
      <c r="H22" s="327">
        <f>D22*(1+C$18)^-B22</f>
        <v>5295.3763445782179</v>
      </c>
      <c r="I22" s="327">
        <f>C22-D22/(1+C$2)-E22+E21+C$2/(1+C$2)*E22</f>
        <v>2845.5769081235335</v>
      </c>
      <c r="J22" s="329">
        <f>I22/C22</f>
        <v>0.38062826486403606</v>
      </c>
      <c r="K22" s="329">
        <f>1-G$27</f>
        <v>0.38062826486403589</v>
      </c>
      <c r="L22" s="320" t="s">
        <v>740</v>
      </c>
    </row>
    <row r="23" spans="1:15">
      <c r="B23" s="320">
        <f>B22+1</f>
        <v>4</v>
      </c>
      <c r="C23" s="326">
        <v>6801</v>
      </c>
      <c r="D23" s="326">
        <v>5561</v>
      </c>
      <c r="E23" s="327">
        <f>(SUM(H24:H$25)-G$27*SUM(G24:G$25))*(1+C$18)^B23</f>
        <v>1588.2687977505943</v>
      </c>
      <c r="F23" s="327">
        <f>(F22+G$27*C23)*(1+C$18)-D23</f>
        <v>1588.2687977506021</v>
      </c>
      <c r="G23" s="327">
        <f>C23*(1+C$18)^(-B23+1)</f>
        <v>5791.8245301141778</v>
      </c>
      <c r="H23" s="327">
        <f>D23*(1+C$18)^-B23</f>
        <v>4488.9323095035434</v>
      </c>
      <c r="I23" s="327">
        <f>C23-D23/(1+C$2)-E23+E22+C$2/(1+C$2)*E23</f>
        <v>2588.6528293403098</v>
      </c>
      <c r="J23" s="329">
        <f>I23/C23</f>
        <v>0.38062826486403617</v>
      </c>
      <c r="K23" s="329">
        <f>1-G$27</f>
        <v>0.38062826486403589</v>
      </c>
    </row>
    <row r="24" spans="1:15">
      <c r="B24" s="320">
        <f>B23+1</f>
        <v>5</v>
      </c>
      <c r="C24" s="326">
        <v>6321</v>
      </c>
      <c r="D24" s="326">
        <v>5806</v>
      </c>
      <c r="E24" s="327">
        <f>(SUM(H25:H$25)-G$27*SUM(G25:G$25))*(1+C$18)^B24</f>
        <v>0</v>
      </c>
      <c r="F24" s="327">
        <f>(F23+G$27*C24)*(1+C$18)-D24</f>
        <v>7.2759576141834259E-12</v>
      </c>
      <c r="G24" s="327">
        <f>C24*(1+C$18)^(-B24+1)</f>
        <v>5102.4170344132162</v>
      </c>
      <c r="H24" s="327">
        <f>D24*(1+C$18)^-B24</f>
        <v>4442.3700584005519</v>
      </c>
      <c r="I24" s="327">
        <f>C24-D24/(1+C$2)-E24+E23+C$2/(1+C$2)*E24</f>
        <v>2405.9512622055704</v>
      </c>
      <c r="J24" s="329">
        <f>I24/C24</f>
        <v>0.38062826486403584</v>
      </c>
      <c r="K24" s="329">
        <f>1-G$27</f>
        <v>0.38062826486403589</v>
      </c>
    </row>
    <row r="25" spans="1:15">
      <c r="C25" s="326"/>
      <c r="D25" s="326"/>
      <c r="E25" s="327"/>
      <c r="F25" s="327"/>
      <c r="G25" s="327"/>
      <c r="H25" s="327"/>
      <c r="I25" s="327"/>
    </row>
    <row r="26" spans="1:15">
      <c r="C26" s="326"/>
      <c r="D26" s="326"/>
      <c r="E26" s="327" t="s">
        <v>736</v>
      </c>
      <c r="F26" s="327"/>
      <c r="G26" s="327">
        <f>SUM(G20:G24)</f>
        <v>35666.995995020865</v>
      </c>
      <c r="H26" s="327">
        <f>SUM(H20:H24)</f>
        <v>22091.129196523554</v>
      </c>
      <c r="I26" s="327"/>
    </row>
    <row r="27" spans="1:15">
      <c r="C27" s="326"/>
      <c r="D27" s="326"/>
      <c r="E27" s="320" t="s">
        <v>737</v>
      </c>
      <c r="G27" s="329">
        <f>H26/G26</f>
        <v>0.61937173513596411</v>
      </c>
    </row>
    <row r="28" spans="1:15">
      <c r="C28" s="326"/>
      <c r="D28" s="326"/>
      <c r="E28" s="319" t="s">
        <v>741</v>
      </c>
      <c r="G28" s="330">
        <f>F22</f>
        <v>2564.2109314735808</v>
      </c>
    </row>
    <row r="29" spans="1:15">
      <c r="C29" s="326"/>
      <c r="D29" s="326"/>
    </row>
    <row r="33" spans="1:11">
      <c r="C33" s="320" t="s">
        <v>742</v>
      </c>
      <c r="G33" s="331">
        <f>F5</f>
        <v>3304.8167842955054</v>
      </c>
      <c r="H33" s="331"/>
    </row>
    <row r="34" spans="1:11">
      <c r="C34" s="320" t="s">
        <v>743</v>
      </c>
      <c r="G34" s="331">
        <f>F21</f>
        <v>3693.9948526482531</v>
      </c>
      <c r="H34" s="331"/>
    </row>
    <row r="35" spans="1:11">
      <c r="A35" s="319"/>
      <c r="B35" s="319" t="s">
        <v>744</v>
      </c>
      <c r="C35" s="319" t="s">
        <v>745</v>
      </c>
      <c r="D35" s="319"/>
      <c r="E35" s="319"/>
      <c r="F35" s="319"/>
      <c r="G35" s="332"/>
      <c r="H35" s="333">
        <f>G34-G33</f>
        <v>389.17806835274769</v>
      </c>
      <c r="I35" s="319"/>
    </row>
    <row r="36" spans="1:11">
      <c r="A36" s="334"/>
      <c r="B36" s="334"/>
      <c r="C36" s="334" t="s">
        <v>743</v>
      </c>
      <c r="D36" s="334"/>
      <c r="E36" s="334"/>
      <c r="F36" s="334"/>
      <c r="G36" s="335">
        <f>G34</f>
        <v>3693.9948526482531</v>
      </c>
      <c r="H36" s="335"/>
      <c r="I36" s="334"/>
    </row>
    <row r="37" spans="1:11">
      <c r="C37" s="320" t="s">
        <v>746</v>
      </c>
      <c r="G37" s="331">
        <f>F22</f>
        <v>2564.2109314735808</v>
      </c>
      <c r="H37" s="331"/>
    </row>
    <row r="38" spans="1:11" s="319" customFormat="1">
      <c r="A38" s="336"/>
      <c r="B38" s="336" t="s">
        <v>747</v>
      </c>
      <c r="C38" s="336" t="s">
        <v>748</v>
      </c>
      <c r="D38" s="336"/>
      <c r="E38" s="336"/>
      <c r="F38" s="336"/>
      <c r="G38" s="337"/>
      <c r="H38" s="338">
        <f>G37-G36</f>
        <v>-1129.7839211746723</v>
      </c>
      <c r="I38" s="336"/>
    </row>
    <row r="39" spans="1:11">
      <c r="C39" s="320" t="s">
        <v>749</v>
      </c>
      <c r="G39" s="331"/>
      <c r="H39" s="331">
        <f>D22</f>
        <v>6218.0499999999993</v>
      </c>
    </row>
    <row r="40" spans="1:11" s="319" customFormat="1">
      <c r="A40" s="336"/>
      <c r="B40" s="336" t="s">
        <v>750</v>
      </c>
      <c r="C40" s="336" t="s">
        <v>751</v>
      </c>
      <c r="D40" s="336"/>
      <c r="E40" s="336"/>
      <c r="F40" s="336"/>
      <c r="G40" s="337"/>
      <c r="H40" s="338">
        <f>H35+H38+H39</f>
        <v>5477.4441471780747</v>
      </c>
      <c r="I40" s="336"/>
      <c r="K40" s="339"/>
    </row>
    <row r="42" spans="1:11">
      <c r="C42" s="320" t="s">
        <v>752</v>
      </c>
    </row>
    <row r="43" spans="1:11">
      <c r="C43" s="320" t="s">
        <v>753</v>
      </c>
      <c r="G43" s="331">
        <f>D6</f>
        <v>5407</v>
      </c>
      <c r="H43" s="331"/>
    </row>
    <row r="44" spans="1:11">
      <c r="C44" s="320" t="s">
        <v>754</v>
      </c>
      <c r="G44" s="331">
        <f>D22</f>
        <v>6218.0499999999993</v>
      </c>
      <c r="H44" s="331"/>
    </row>
    <row r="45" spans="1:11">
      <c r="C45" s="320" t="s">
        <v>755</v>
      </c>
      <c r="G45" s="331"/>
      <c r="H45" s="331"/>
      <c r="I45" s="320">
        <f>G43-G44</f>
        <v>-811.04999999999927</v>
      </c>
    </row>
    <row r="46" spans="1:11">
      <c r="C46" s="320" t="s">
        <v>742</v>
      </c>
      <c r="G46" s="331">
        <f>F5</f>
        <v>3304.8167842955054</v>
      </c>
      <c r="H46" s="331"/>
    </row>
    <row r="47" spans="1:11">
      <c r="C47" s="320" t="s">
        <v>756</v>
      </c>
      <c r="G47" s="331">
        <f>F6</f>
        <v>2811.9406427770882</v>
      </c>
      <c r="H47" s="331"/>
    </row>
    <row r="48" spans="1:11">
      <c r="C48" s="320" t="s">
        <v>757</v>
      </c>
      <c r="G48" s="331"/>
      <c r="H48" s="331">
        <f>G46-G47</f>
        <v>492.87614151841717</v>
      </c>
    </row>
    <row r="49" spans="1:9">
      <c r="C49" s="320" t="s">
        <v>742</v>
      </c>
      <c r="G49" s="331">
        <f>G46</f>
        <v>3304.8167842955054</v>
      </c>
      <c r="H49" s="331"/>
    </row>
    <row r="50" spans="1:9">
      <c r="C50" s="320" t="s">
        <v>758</v>
      </c>
      <c r="G50" s="331">
        <f>F22</f>
        <v>2564.2109314735808</v>
      </c>
      <c r="H50" s="331"/>
    </row>
    <row r="51" spans="1:9">
      <c r="C51" s="320" t="s">
        <v>759</v>
      </c>
      <c r="G51" s="331"/>
      <c r="H51" s="331">
        <f>G49-G50</f>
        <v>740.6058528219246</v>
      </c>
    </row>
    <row r="52" spans="1:9">
      <c r="C52" s="320" t="s">
        <v>760</v>
      </c>
      <c r="G52" s="331"/>
      <c r="H52" s="331"/>
      <c r="I52" s="329">
        <f>H51-H48</f>
        <v>247.72971130350743</v>
      </c>
    </row>
    <row r="53" spans="1:9" s="319" customFormat="1">
      <c r="A53" s="336"/>
      <c r="B53" s="336" t="s">
        <v>761</v>
      </c>
      <c r="C53" s="336" t="s">
        <v>762</v>
      </c>
      <c r="D53" s="336"/>
      <c r="E53" s="336"/>
      <c r="F53" s="336"/>
      <c r="G53" s="337"/>
      <c r="H53" s="337"/>
      <c r="I53" s="340">
        <f>I45+I52</f>
        <v>-563.32028869649184</v>
      </c>
    </row>
    <row r="54" spans="1:9">
      <c r="G54" s="331"/>
      <c r="H54" s="331"/>
    </row>
    <row r="55" spans="1:9">
      <c r="C55" s="320" t="s">
        <v>763</v>
      </c>
      <c r="G55" s="331"/>
      <c r="H55" s="331"/>
    </row>
    <row r="56" spans="1:9">
      <c r="C56" s="320" t="s">
        <v>753</v>
      </c>
      <c r="G56" s="331">
        <f>D6</f>
        <v>5407</v>
      </c>
      <c r="H56" s="331"/>
    </row>
    <row r="57" spans="1:9">
      <c r="C57" s="320" t="s">
        <v>764</v>
      </c>
      <c r="G57" s="331">
        <f>F5</f>
        <v>3304.8167842955054</v>
      </c>
      <c r="H57" s="331"/>
    </row>
    <row r="58" spans="1:9">
      <c r="C58" s="320" t="s">
        <v>756</v>
      </c>
      <c r="G58" s="331">
        <f>F6</f>
        <v>2811.9406427770882</v>
      </c>
      <c r="H58" s="331"/>
    </row>
    <row r="59" spans="1:9">
      <c r="C59" s="320" t="s">
        <v>765</v>
      </c>
      <c r="G59" s="331"/>
      <c r="H59" s="331">
        <f>G56+G58-G57</f>
        <v>4914.1238584815828</v>
      </c>
    </row>
    <row r="60" spans="1:9">
      <c r="G60" s="331"/>
      <c r="H60" s="331"/>
    </row>
    <row r="61" spans="1:9">
      <c r="C61" s="320" t="s">
        <v>754</v>
      </c>
      <c r="G61" s="331">
        <f>D22</f>
        <v>6218.0499999999993</v>
      </c>
      <c r="H61" s="331"/>
    </row>
    <row r="62" spans="1:9">
      <c r="C62" s="320" t="s">
        <v>742</v>
      </c>
      <c r="G62" s="331">
        <f>G57</f>
        <v>3304.8167842955054</v>
      </c>
      <c r="H62" s="331"/>
    </row>
    <row r="63" spans="1:9">
      <c r="C63" s="320" t="s">
        <v>758</v>
      </c>
      <c r="G63" s="331">
        <f>F22</f>
        <v>2564.2109314735808</v>
      </c>
      <c r="H63" s="331"/>
    </row>
    <row r="64" spans="1:9">
      <c r="C64" s="320" t="s">
        <v>766</v>
      </c>
      <c r="G64" s="331"/>
      <c r="H64" s="331">
        <f>G61+G63-G62</f>
        <v>5477.4441471780747</v>
      </c>
    </row>
    <row r="65" spans="3:9">
      <c r="G65" s="331"/>
      <c r="H65" s="331"/>
    </row>
    <row r="66" spans="3:9">
      <c r="C66" s="320" t="s">
        <v>762</v>
      </c>
      <c r="G66" s="331"/>
      <c r="H66" s="331"/>
      <c r="I66" s="329">
        <f>H59-H64</f>
        <v>-563.32028869649184</v>
      </c>
    </row>
  </sheetData>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DFCF1-A559-4470-AD27-50286B5F1C8F}">
  <dimension ref="A1:J17"/>
  <sheetViews>
    <sheetView workbookViewId="0"/>
  </sheetViews>
  <sheetFormatPr defaultColWidth="8.77734375" defaultRowHeight="14.4"/>
  <cols>
    <col min="1" max="1" width="35.21875" style="67" customWidth="1"/>
    <col min="2" max="2" width="23.5546875" style="67" customWidth="1"/>
    <col min="3" max="16384" width="8.77734375" style="67"/>
  </cols>
  <sheetData>
    <row r="1" spans="1:10" s="66" customFormat="1" ht="17.399999999999999">
      <c r="A1" s="65" t="s">
        <v>611</v>
      </c>
    </row>
    <row r="2" spans="1:10" s="66" customFormat="1" ht="15.6">
      <c r="A2" s="68" t="s">
        <v>190</v>
      </c>
    </row>
    <row r="3" spans="1:10" s="66" customFormat="1" ht="15.6">
      <c r="A3" s="68" t="s">
        <v>388</v>
      </c>
      <c r="B3" s="69"/>
      <c r="C3" s="69"/>
      <c r="D3" s="69"/>
      <c r="E3" s="69"/>
      <c r="F3" s="69"/>
      <c r="G3" s="69"/>
      <c r="H3" s="69"/>
      <c r="I3" s="69"/>
      <c r="J3" s="69"/>
    </row>
    <row r="4" spans="1:10" s="66" customFormat="1" ht="15.6">
      <c r="A4" s="70" t="s">
        <v>612</v>
      </c>
    </row>
    <row r="5" spans="1:10" s="66" customFormat="1" ht="16.2" thickBot="1">
      <c r="A5" s="70"/>
    </row>
    <row r="6" spans="1:10" s="66" customFormat="1" ht="15" customHeight="1" thickBot="1">
      <c r="A6" s="110" t="s">
        <v>613</v>
      </c>
      <c r="B6" s="135" t="s">
        <v>614</v>
      </c>
      <c r="C6" s="236"/>
    </row>
    <row r="7" spans="1:10" s="66" customFormat="1" ht="15" customHeight="1" thickBot="1">
      <c r="A7" s="112" t="s">
        <v>615</v>
      </c>
      <c r="B7" s="237">
        <v>10000</v>
      </c>
      <c r="C7" s="236"/>
    </row>
    <row r="8" spans="1:10" s="66" customFormat="1" ht="15" customHeight="1" thickBot="1">
      <c r="A8" s="112" t="s">
        <v>616</v>
      </c>
      <c r="B8" s="238">
        <v>0.05</v>
      </c>
      <c r="C8" s="236"/>
    </row>
    <row r="9" spans="1:10" s="66" customFormat="1" ht="15" customHeight="1" thickBot="1">
      <c r="A9" s="112" t="s">
        <v>617</v>
      </c>
      <c r="B9" s="239" t="s">
        <v>618</v>
      </c>
      <c r="C9" s="236"/>
    </row>
    <row r="10" spans="1:10" s="66" customFormat="1" ht="15" customHeight="1" thickBot="1">
      <c r="A10" s="112" t="s">
        <v>619</v>
      </c>
      <c r="B10" s="238">
        <v>0.02</v>
      </c>
      <c r="C10" s="236"/>
    </row>
    <row r="11" spans="1:10" s="66" customFormat="1" ht="15" customHeight="1" thickBot="1">
      <c r="A11" s="112" t="s">
        <v>620</v>
      </c>
      <c r="B11" s="239" t="s">
        <v>621</v>
      </c>
      <c r="C11" s="236"/>
    </row>
    <row r="12" spans="1:10" s="66" customFormat="1" ht="15" customHeight="1" thickBot="1">
      <c r="A12" s="112" t="s">
        <v>622</v>
      </c>
      <c r="B12" s="240">
        <v>1.4999999999999999E-2</v>
      </c>
      <c r="C12" s="236"/>
    </row>
    <row r="13" spans="1:10" s="66" customFormat="1" ht="15" customHeight="1" thickBot="1">
      <c r="A13" s="112" t="s">
        <v>623</v>
      </c>
      <c r="B13" s="238">
        <v>0.03</v>
      </c>
      <c r="C13" s="241"/>
    </row>
    <row r="14" spans="1:10" s="66" customFormat="1" ht="21.6" customHeight="1" thickBot="1">
      <c r="A14" s="1140" t="s">
        <v>624</v>
      </c>
      <c r="B14" s="1141"/>
      <c r="C14" s="1142"/>
    </row>
    <row r="15" spans="1:10" s="66" customFormat="1" ht="15.6">
      <c r="A15" s="242"/>
    </row>
    <row r="16" spans="1:10" s="66" customFormat="1" ht="15.6">
      <c r="A16" s="71" t="s">
        <v>625</v>
      </c>
    </row>
    <row r="17" spans="1:1">
      <c r="A17" s="67" t="s">
        <v>24</v>
      </c>
    </row>
  </sheetData>
  <mergeCells count="1">
    <mergeCell ref="A14:C14"/>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164CA-FC65-49C9-B12E-291BCBAD5B33}">
  <dimension ref="A1:J15"/>
  <sheetViews>
    <sheetView workbookViewId="0"/>
  </sheetViews>
  <sheetFormatPr defaultColWidth="8.77734375" defaultRowHeight="14.4"/>
  <cols>
    <col min="1" max="1" width="10.5546875" style="67" customWidth="1"/>
    <col min="2" max="2" width="28.5546875" style="67" customWidth="1"/>
    <col min="3" max="3" width="14.5546875" style="67" customWidth="1"/>
    <col min="4" max="16384" width="8.77734375" style="67"/>
  </cols>
  <sheetData>
    <row r="1" spans="1:10" s="66" customFormat="1" ht="17.399999999999999">
      <c r="A1" s="65" t="s">
        <v>626</v>
      </c>
    </row>
    <row r="2" spans="1:10" s="66" customFormat="1" ht="15.6">
      <c r="A2" s="68" t="s">
        <v>627</v>
      </c>
    </row>
    <row r="3" spans="1:10" s="66" customFormat="1" ht="15.6">
      <c r="A3" s="68" t="s">
        <v>576</v>
      </c>
      <c r="B3" s="69"/>
      <c r="C3" s="69"/>
      <c r="D3" s="69"/>
      <c r="E3" s="69"/>
      <c r="F3" s="69"/>
      <c r="G3" s="69"/>
      <c r="H3" s="69"/>
      <c r="I3" s="69"/>
      <c r="J3" s="69"/>
    </row>
    <row r="4" spans="1:10" s="66" customFormat="1" ht="21.6" customHeight="1">
      <c r="A4" s="71" t="s">
        <v>628</v>
      </c>
    </row>
    <row r="5" spans="1:10" s="66" customFormat="1" ht="16.2" thickBot="1">
      <c r="A5" s="243"/>
    </row>
    <row r="6" spans="1:10" s="66" customFormat="1" ht="21" customHeight="1" thickBot="1">
      <c r="A6" s="244" t="s">
        <v>629</v>
      </c>
      <c r="B6" s="245" t="s">
        <v>630</v>
      </c>
      <c r="C6" s="196" t="s">
        <v>631</v>
      </c>
    </row>
    <row r="7" spans="1:10" s="66" customFormat="1" ht="16.2" thickBot="1">
      <c r="A7" s="171">
        <v>1</v>
      </c>
      <c r="B7" s="173">
        <v>26582</v>
      </c>
      <c r="C7" s="173">
        <v>26850</v>
      </c>
    </row>
    <row r="8" spans="1:10" s="66" customFormat="1" ht="16.2" thickBot="1">
      <c r="A8" s="171">
        <v>2</v>
      </c>
      <c r="B8" s="173">
        <v>301438</v>
      </c>
      <c r="C8" s="173">
        <v>292658</v>
      </c>
    </row>
    <row r="9" spans="1:10" s="66" customFormat="1" ht="16.2" thickBot="1">
      <c r="A9" s="171">
        <v>3</v>
      </c>
      <c r="B9" s="173">
        <v>160681</v>
      </c>
      <c r="C9" s="173">
        <v>159090</v>
      </c>
    </row>
    <row r="10" spans="1:10" s="66" customFormat="1" ht="16.2" thickBot="1">
      <c r="A10" s="171">
        <v>4</v>
      </c>
      <c r="B10" s="173">
        <v>742727</v>
      </c>
      <c r="C10" s="173">
        <v>707359</v>
      </c>
    </row>
    <row r="11" spans="1:10" s="66" customFormat="1" ht="16.2" thickBot="1">
      <c r="A11" s="171">
        <v>5</v>
      </c>
      <c r="B11" s="173">
        <v>91148</v>
      </c>
      <c r="C11" s="173">
        <v>82862</v>
      </c>
    </row>
    <row r="12" spans="1:10" s="66" customFormat="1" ht="16.2" thickBot="1">
      <c r="A12" s="171">
        <v>6</v>
      </c>
      <c r="B12" s="173">
        <v>46349</v>
      </c>
      <c r="C12" s="173">
        <v>45890</v>
      </c>
    </row>
    <row r="13" spans="1:10" s="66" customFormat="1" ht="15.6">
      <c r="A13" s="246"/>
    </row>
    <row r="14" spans="1:10" s="66" customFormat="1" ht="15.6">
      <c r="A14" s="141" t="s">
        <v>632</v>
      </c>
    </row>
    <row r="15" spans="1:10">
      <c r="A15" s="67" t="s">
        <v>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D7D3A-8EBA-4339-8613-9C0BADF29296}">
  <dimension ref="A1:B66"/>
  <sheetViews>
    <sheetView workbookViewId="0">
      <selection activeCell="C1" sqref="C1"/>
    </sheetView>
  </sheetViews>
  <sheetFormatPr defaultColWidth="9.21875" defaultRowHeight="14.4"/>
  <cols>
    <col min="1" max="1" width="36.21875" style="448" customWidth="1"/>
    <col min="2" max="2" width="14" style="448" customWidth="1"/>
    <col min="3" max="4" width="8.77734375" style="448" customWidth="1"/>
    <col min="5" max="16384" width="9.21875" style="448"/>
  </cols>
  <sheetData>
    <row r="1" spans="1:2" s="493" customFormat="1" ht="17.399999999999999">
      <c r="A1" s="523" t="s">
        <v>1675</v>
      </c>
    </row>
    <row r="2" spans="1:2" s="493" customFormat="1" ht="15.6">
      <c r="A2" s="522" t="s">
        <v>336</v>
      </c>
    </row>
    <row r="3" spans="1:2" s="493" customFormat="1" ht="15.6">
      <c r="A3" s="522" t="s">
        <v>1676</v>
      </c>
    </row>
    <row r="4" spans="1:2" s="493" customFormat="1"/>
    <row r="5" spans="1:2" s="493" customFormat="1" ht="15.6">
      <c r="A5" s="494" t="s">
        <v>1677</v>
      </c>
    </row>
    <row r="6" spans="1:2" s="493" customFormat="1" ht="15.6">
      <c r="A6" s="494"/>
    </row>
    <row r="7" spans="1:2" s="493" customFormat="1" ht="15.6">
      <c r="A7" s="775" t="s">
        <v>1678</v>
      </c>
      <c r="B7" s="536"/>
    </row>
    <row r="8" spans="1:2" s="493" customFormat="1" ht="15.6">
      <c r="A8" s="536"/>
    </row>
    <row r="9" spans="1:2" s="493" customFormat="1" ht="15.6">
      <c r="A9" s="494" t="s">
        <v>1679</v>
      </c>
    </row>
    <row r="10" spans="1:2" s="493" customFormat="1" ht="16.2" thickBot="1">
      <c r="A10" s="494"/>
    </row>
    <row r="11" spans="1:2" s="493" customFormat="1" ht="47.4" thickBot="1">
      <c r="A11" s="987" t="s">
        <v>161</v>
      </c>
      <c r="B11" s="988" t="s">
        <v>1680</v>
      </c>
    </row>
    <row r="12" spans="1:2" s="493" customFormat="1" ht="16.2" thickBot="1">
      <c r="A12" s="533" t="s">
        <v>1681</v>
      </c>
      <c r="B12" s="1001">
        <v>280</v>
      </c>
    </row>
    <row r="13" spans="1:2" s="493" customFormat="1" ht="16.2" thickBot="1">
      <c r="A13" s="533" t="s">
        <v>1682</v>
      </c>
      <c r="B13" s="1001">
        <v>280</v>
      </c>
    </row>
    <row r="14" spans="1:2" s="493" customFormat="1" ht="16.2" thickBot="1">
      <c r="A14" s="533" t="s">
        <v>1683</v>
      </c>
      <c r="B14" s="1001">
        <v>470</v>
      </c>
    </row>
    <row r="15" spans="1:2" s="493" customFormat="1" ht="16.2" thickBot="1">
      <c r="A15" s="533" t="s">
        <v>1684</v>
      </c>
      <c r="B15" s="1001">
        <v>470</v>
      </c>
    </row>
    <row r="16" spans="1:2" s="493" customFormat="1" ht="16.2" thickBot="1">
      <c r="A16" s="533" t="s">
        <v>1685</v>
      </c>
      <c r="B16" s="1001">
        <v>315</v>
      </c>
    </row>
    <row r="17" spans="1:2" s="493" customFormat="1" ht="16.2" thickBot="1">
      <c r="A17" s="533" t="s">
        <v>1686</v>
      </c>
      <c r="B17" s="1001">
        <v>315</v>
      </c>
    </row>
    <row r="18" spans="1:2" s="493" customFormat="1" ht="16.2" thickBot="1">
      <c r="A18" s="533" t="s">
        <v>1687</v>
      </c>
      <c r="B18" s="1001">
        <v>330</v>
      </c>
    </row>
    <row r="19" spans="1:2" s="493" customFormat="1" ht="16.2" thickBot="1">
      <c r="A19" s="533" t="s">
        <v>1688</v>
      </c>
      <c r="B19" s="1001">
        <v>330</v>
      </c>
    </row>
    <row r="20" spans="1:2" s="493" customFormat="1" ht="16.2" thickBot="1">
      <c r="A20" s="533" t="s">
        <v>1689</v>
      </c>
      <c r="B20" s="1001">
        <v>325</v>
      </c>
    </row>
    <row r="21" spans="1:2" s="493" customFormat="1" ht="16.2" thickBot="1">
      <c r="A21" s="533" t="s">
        <v>1690</v>
      </c>
      <c r="B21" s="1001">
        <v>320</v>
      </c>
    </row>
    <row r="22" spans="1:2" s="493" customFormat="1" ht="16.05" customHeight="1" thickBot="1">
      <c r="A22" s="533" t="s">
        <v>1691</v>
      </c>
      <c r="B22" s="1001">
        <v>322</v>
      </c>
    </row>
    <row r="23" spans="1:2" s="493" customFormat="1" ht="16.05" customHeight="1" thickBot="1">
      <c r="A23" s="533" t="s">
        <v>1692</v>
      </c>
      <c r="B23" s="1001">
        <v>344</v>
      </c>
    </row>
    <row r="24" spans="1:2" s="493" customFormat="1" ht="16.05" customHeight="1" thickBot="1">
      <c r="A24" s="533" t="s">
        <v>1693</v>
      </c>
      <c r="B24" s="1001">
        <v>280</v>
      </c>
    </row>
    <row r="25" spans="1:2" s="493" customFormat="1" ht="16.05" customHeight="1" thickBot="1">
      <c r="A25" s="533" t="s">
        <v>1694</v>
      </c>
      <c r="B25" s="1001">
        <v>280</v>
      </c>
    </row>
    <row r="26" spans="1:2" s="493" customFormat="1" ht="16.05" customHeight="1" thickBot="1">
      <c r="A26" s="533" t="s">
        <v>1695</v>
      </c>
      <c r="B26" s="1001">
        <v>355</v>
      </c>
    </row>
    <row r="27" spans="1:2" s="493" customFormat="1" ht="16.05" customHeight="1" thickBot="1">
      <c r="A27" s="533" t="s">
        <v>1696</v>
      </c>
      <c r="B27" s="1001">
        <v>355</v>
      </c>
    </row>
    <row r="28" spans="1:2" s="493" customFormat="1" ht="15.6">
      <c r="A28" s="494"/>
    </row>
    <row r="29" spans="1:2" s="493" customFormat="1" ht="15.6">
      <c r="A29" s="494" t="s">
        <v>1697</v>
      </c>
    </row>
    <row r="30" spans="1:2" ht="15.6">
      <c r="A30" s="989" t="s">
        <v>24</v>
      </c>
    </row>
    <row r="43" spans="1:2" s="493" customFormat="1" ht="15.6">
      <c r="A43" s="762" t="s">
        <v>1698</v>
      </c>
      <c r="B43" s="536"/>
    </row>
    <row r="44" spans="1:2" s="493" customFormat="1" ht="15.6">
      <c r="A44" s="536"/>
    </row>
    <row r="45" spans="1:2" s="493" customFormat="1" ht="15.6">
      <c r="A45" s="494" t="s">
        <v>1699</v>
      </c>
    </row>
    <row r="46" spans="1:2" s="493" customFormat="1" ht="15.6">
      <c r="A46" s="494"/>
    </row>
    <row r="47" spans="1:2" s="493" customFormat="1" ht="15.6">
      <c r="A47" s="494" t="s">
        <v>1700</v>
      </c>
    </row>
    <row r="48" spans="1:2" s="493" customFormat="1" ht="16.2" thickBot="1">
      <c r="A48" s="494"/>
    </row>
    <row r="49" spans="1:2" s="493" customFormat="1" ht="16.2" thickBot="1">
      <c r="A49" s="535" t="s">
        <v>1701</v>
      </c>
      <c r="B49" s="1002">
        <v>150000</v>
      </c>
    </row>
    <row r="50" spans="1:2" s="493" customFormat="1" ht="16.2" thickBot="1">
      <c r="A50" s="533" t="s">
        <v>1702</v>
      </c>
      <c r="B50" s="537">
        <v>0.09</v>
      </c>
    </row>
    <row r="51" spans="1:2" s="493" customFormat="1" ht="16.2" thickBot="1">
      <c r="A51" s="533" t="s">
        <v>1703</v>
      </c>
      <c r="B51" s="532">
        <v>3.5000000000000003E-2</v>
      </c>
    </row>
    <row r="52" spans="1:2" s="493" customFormat="1" ht="16.2" thickBot="1">
      <c r="A52" s="533" t="s">
        <v>1704</v>
      </c>
      <c r="B52" s="537">
        <v>0.8</v>
      </c>
    </row>
    <row r="53" spans="1:2" s="493" customFormat="1" ht="16.2" thickBot="1">
      <c r="A53" s="533" t="s">
        <v>1705</v>
      </c>
      <c r="B53" s="554" t="s">
        <v>1706</v>
      </c>
    </row>
    <row r="54" spans="1:2" s="493" customFormat="1" ht="15.6">
      <c r="A54" s="494"/>
    </row>
    <row r="55" spans="1:2" s="493" customFormat="1" ht="16.2" thickBot="1">
      <c r="A55" s="494" t="s">
        <v>1707</v>
      </c>
    </row>
    <row r="56" spans="1:2" s="493" customFormat="1" ht="16.2" thickBot="1">
      <c r="A56" s="535" t="s">
        <v>1708</v>
      </c>
      <c r="B56" s="556" t="s">
        <v>1709</v>
      </c>
    </row>
    <row r="57" spans="1:2" s="493" customFormat="1" ht="16.2" thickBot="1">
      <c r="A57" s="533" t="s">
        <v>1710</v>
      </c>
      <c r="B57" s="537">
        <v>0.13</v>
      </c>
    </row>
    <row r="58" spans="1:2" s="493" customFormat="1" ht="16.2" thickBot="1">
      <c r="A58" s="533" t="s">
        <v>1711</v>
      </c>
      <c r="B58" s="532">
        <v>2.5000000000000001E-2</v>
      </c>
    </row>
    <row r="59" spans="1:2" s="493" customFormat="1" ht="16.2" thickBot="1">
      <c r="A59" s="533" t="s">
        <v>1712</v>
      </c>
      <c r="B59" s="537">
        <v>0.05</v>
      </c>
    </row>
    <row r="60" spans="1:2" s="493" customFormat="1" ht="16.2" thickBot="1">
      <c r="A60" s="533" t="s">
        <v>1713</v>
      </c>
      <c r="B60" s="554">
        <v>50</v>
      </c>
    </row>
    <row r="61" spans="1:2" s="493" customFormat="1" ht="16.2" thickBot="1">
      <c r="A61" s="533" t="s">
        <v>1714</v>
      </c>
      <c r="B61" s="554">
        <v>50</v>
      </c>
    </row>
    <row r="62" spans="1:2" s="493" customFormat="1" ht="15.6">
      <c r="A62" s="494"/>
    </row>
    <row r="63" spans="1:2" s="493" customFormat="1" ht="15.6">
      <c r="A63" s="494" t="s">
        <v>1715</v>
      </c>
    </row>
    <row r="64" spans="1:2" s="493" customFormat="1" ht="15.6">
      <c r="A64" s="494"/>
    </row>
    <row r="65" spans="1:1" s="493" customFormat="1" ht="15.6">
      <c r="A65" s="494" t="s">
        <v>1716</v>
      </c>
    </row>
    <row r="66" spans="1:1" ht="15.6">
      <c r="A66" s="989" t="s">
        <v>24</v>
      </c>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88B1-4632-4A5A-95CD-8ADA86141839}">
  <dimension ref="A1:J34"/>
  <sheetViews>
    <sheetView workbookViewId="0"/>
  </sheetViews>
  <sheetFormatPr defaultColWidth="8.77734375" defaultRowHeight="14.4"/>
  <cols>
    <col min="1" max="1" width="8.77734375" style="67"/>
    <col min="2" max="2" width="36.77734375" style="67" customWidth="1"/>
    <col min="3" max="3" width="17.5546875" style="67" bestFit="1" customWidth="1"/>
    <col min="4" max="4" width="13.44140625" style="67" customWidth="1"/>
    <col min="5" max="5" width="15.5546875" style="67" customWidth="1"/>
    <col min="6" max="16384" width="8.77734375" style="67"/>
  </cols>
  <sheetData>
    <row r="1" spans="1:10" s="66" customFormat="1" ht="17.399999999999999">
      <c r="A1" s="65" t="s">
        <v>93</v>
      </c>
    </row>
    <row r="2" spans="1:10" s="66" customFormat="1" ht="15.6">
      <c r="A2" s="68" t="s">
        <v>627</v>
      </c>
    </row>
    <row r="3" spans="1:10" s="66" customFormat="1" ht="15.6">
      <c r="A3" s="68" t="s">
        <v>576</v>
      </c>
      <c r="B3" s="69"/>
      <c r="C3" s="69"/>
      <c r="D3" s="69"/>
      <c r="E3" s="69"/>
      <c r="F3" s="69"/>
      <c r="G3" s="69"/>
      <c r="H3" s="69"/>
      <c r="I3" s="69"/>
      <c r="J3" s="69"/>
    </row>
    <row r="4" spans="1:10" s="66" customFormat="1" ht="15.6">
      <c r="A4" s="70" t="s">
        <v>633</v>
      </c>
    </row>
    <row r="5" spans="1:10" s="66" customFormat="1" ht="15.6">
      <c r="A5" s="70"/>
    </row>
    <row r="6" spans="1:10" s="66" customFormat="1" ht="15.6">
      <c r="A6" s="70" t="s">
        <v>634</v>
      </c>
    </row>
    <row r="7" spans="1:10" s="66" customFormat="1" ht="15.6">
      <c r="A7" s="71"/>
    </row>
    <row r="8" spans="1:10" s="66" customFormat="1" ht="15.6">
      <c r="A8" s="119" t="s">
        <v>635</v>
      </c>
      <c r="B8" s="247"/>
      <c r="C8" s="247">
        <v>2016</v>
      </c>
      <c r="D8" s="248"/>
    </row>
    <row r="9" spans="1:10" s="66" customFormat="1" ht="15.6">
      <c r="A9" s="119" t="s">
        <v>636</v>
      </c>
      <c r="B9" s="247"/>
      <c r="C9" s="247">
        <v>65</v>
      </c>
      <c r="D9" s="248"/>
    </row>
    <row r="10" spans="1:10" s="66" customFormat="1" ht="15.6">
      <c r="A10" s="119" t="s">
        <v>637</v>
      </c>
      <c r="B10" s="247"/>
      <c r="C10" s="249">
        <v>200000</v>
      </c>
    </row>
    <row r="11" spans="1:10" s="66" customFormat="1" ht="15.6">
      <c r="A11" s="119" t="s">
        <v>638</v>
      </c>
      <c r="B11" s="247"/>
      <c r="C11" s="250" t="s">
        <v>639</v>
      </c>
    </row>
    <row r="12" spans="1:10" s="66" customFormat="1" ht="15.6">
      <c r="A12" s="119" t="s">
        <v>640</v>
      </c>
      <c r="B12" s="247"/>
      <c r="C12" s="247">
        <v>0</v>
      </c>
      <c r="D12" s="248"/>
    </row>
    <row r="13" spans="1:10" s="66" customFormat="1" ht="15.6">
      <c r="A13" s="119" t="s">
        <v>641</v>
      </c>
      <c r="B13" s="247"/>
      <c r="C13" s="250" t="s">
        <v>642</v>
      </c>
    </row>
    <row r="14" spans="1:10" s="66" customFormat="1" ht="15.6">
      <c r="A14" s="119" t="s">
        <v>643</v>
      </c>
      <c r="B14" s="247"/>
      <c r="C14" s="251" t="s">
        <v>644</v>
      </c>
      <c r="D14" s="248"/>
    </row>
    <row r="15" spans="1:10" s="66" customFormat="1" ht="15.6">
      <c r="A15" s="119" t="s">
        <v>645</v>
      </c>
      <c r="B15" s="247"/>
      <c r="C15" s="251" t="s">
        <v>646</v>
      </c>
      <c r="D15" s="248"/>
    </row>
    <row r="16" spans="1:10" s="66" customFormat="1" ht="15.6">
      <c r="A16" s="119" t="s">
        <v>647</v>
      </c>
      <c r="B16" s="247"/>
      <c r="C16" s="252">
        <v>0.03</v>
      </c>
    </row>
    <row r="17" spans="1:5" s="66" customFormat="1" ht="15.6">
      <c r="A17" s="119" t="s">
        <v>648</v>
      </c>
      <c r="B17" s="247"/>
      <c r="C17" s="252">
        <v>0.06</v>
      </c>
    </row>
    <row r="18" spans="1:5" s="66" customFormat="1" ht="15.6">
      <c r="A18" s="70"/>
    </row>
    <row r="19" spans="1:5" s="66" customFormat="1" ht="15.6">
      <c r="A19" s="70" t="s">
        <v>649</v>
      </c>
    </row>
    <row r="20" spans="1:5" s="66" customFormat="1" ht="16.2" thickBot="1">
      <c r="A20" s="70"/>
    </row>
    <row r="21" spans="1:5" s="66" customFormat="1" ht="16.8" thickTop="1" thickBot="1">
      <c r="A21" s="253"/>
      <c r="B21" s="1143" t="s">
        <v>650</v>
      </c>
      <c r="C21" s="1144"/>
      <c r="D21" s="1145" t="s">
        <v>651</v>
      </c>
      <c r="E21" s="1146"/>
    </row>
    <row r="22" spans="1:5" s="66" customFormat="1" ht="16.2" thickBot="1">
      <c r="A22" s="254" t="s">
        <v>652</v>
      </c>
      <c r="B22" s="255" t="s">
        <v>653</v>
      </c>
      <c r="C22" s="256" t="s">
        <v>654</v>
      </c>
      <c r="D22" s="255" t="s">
        <v>653</v>
      </c>
      <c r="E22" s="256" t="s">
        <v>654</v>
      </c>
    </row>
    <row r="23" spans="1:5" s="66" customFormat="1" ht="16.2" thickBot="1">
      <c r="A23" s="254">
        <v>65</v>
      </c>
      <c r="B23" s="257">
        <v>15</v>
      </c>
      <c r="C23" s="258">
        <v>14.76</v>
      </c>
      <c r="D23" s="79">
        <v>16.45</v>
      </c>
      <c r="E23" s="258">
        <v>16.149999999999999</v>
      </c>
    </row>
    <row r="24" spans="1:5" s="66" customFormat="1" ht="16.2" thickBot="1">
      <c r="A24" s="254">
        <v>66</v>
      </c>
      <c r="B24" s="257">
        <v>14.2</v>
      </c>
      <c r="C24" s="258">
        <v>13.96</v>
      </c>
      <c r="D24" s="79">
        <v>15.65</v>
      </c>
      <c r="E24" s="258">
        <v>15.35</v>
      </c>
    </row>
    <row r="25" spans="1:5" s="66" customFormat="1" ht="16.2" thickBot="1">
      <c r="A25" s="254">
        <v>67</v>
      </c>
      <c r="B25" s="257">
        <v>13.5</v>
      </c>
      <c r="C25" s="258">
        <v>13.26</v>
      </c>
      <c r="D25" s="79">
        <v>14.95</v>
      </c>
      <c r="E25" s="258">
        <v>14.65</v>
      </c>
    </row>
    <row r="26" spans="1:5" s="66" customFormat="1" ht="16.2" thickBot="1">
      <c r="A26" s="254">
        <v>68</v>
      </c>
      <c r="B26" s="257">
        <v>12.8</v>
      </c>
      <c r="C26" s="258">
        <v>12.56</v>
      </c>
      <c r="D26" s="79">
        <v>14.25</v>
      </c>
      <c r="E26" s="258">
        <v>13.95</v>
      </c>
    </row>
    <row r="27" spans="1:5" s="66" customFormat="1" ht="16.2" thickBot="1">
      <c r="A27" s="254">
        <v>69</v>
      </c>
      <c r="B27" s="257">
        <v>12.1</v>
      </c>
      <c r="C27" s="258">
        <v>11.86</v>
      </c>
      <c r="D27" s="79">
        <v>13.55</v>
      </c>
      <c r="E27" s="258">
        <v>13.25</v>
      </c>
    </row>
    <row r="28" spans="1:5" s="66" customFormat="1" ht="16.2" thickBot="1">
      <c r="A28" s="259">
        <v>70</v>
      </c>
      <c r="B28" s="260">
        <v>11.4</v>
      </c>
      <c r="C28" s="261">
        <v>11.16</v>
      </c>
      <c r="D28" s="262">
        <v>12.85</v>
      </c>
      <c r="E28" s="261">
        <v>12.55</v>
      </c>
    </row>
    <row r="29" spans="1:5" s="66" customFormat="1" ht="16.2" thickTop="1">
      <c r="A29" s="70"/>
    </row>
    <row r="30" spans="1:5" s="66" customFormat="1" ht="15.6">
      <c r="A30" s="71" t="s">
        <v>655</v>
      </c>
    </row>
    <row r="31" spans="1:5" s="66" customFormat="1" ht="15.6">
      <c r="A31" s="71"/>
    </row>
    <row r="32" spans="1:5" s="66" customFormat="1" ht="15.6">
      <c r="A32" s="71" t="s">
        <v>656</v>
      </c>
    </row>
    <row r="33" spans="1:1" ht="15.6">
      <c r="A33" s="233" t="s">
        <v>24</v>
      </c>
    </row>
    <row r="34" spans="1:1" ht="15.6">
      <c r="A34" s="235"/>
    </row>
  </sheetData>
  <mergeCells count="2">
    <mergeCell ref="B21:C21"/>
    <mergeCell ref="D21:E21"/>
  </mergeCell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9CFF7-50C9-4816-B600-8A6B207317F2}">
  <dimension ref="A1:J34"/>
  <sheetViews>
    <sheetView workbookViewId="0"/>
  </sheetViews>
  <sheetFormatPr defaultColWidth="8.77734375" defaultRowHeight="14.4"/>
  <cols>
    <col min="1" max="1" width="8.77734375" style="67"/>
    <col min="2" max="2" width="36.77734375" style="67" customWidth="1"/>
    <col min="3" max="3" width="17.5546875" style="67" bestFit="1" customWidth="1"/>
    <col min="4" max="4" width="13.44140625" style="67" customWidth="1"/>
    <col min="5" max="5" width="15.5546875" style="67" customWidth="1"/>
    <col min="6" max="16384" width="8.77734375" style="67"/>
  </cols>
  <sheetData>
    <row r="1" spans="1:10" s="66" customFormat="1" ht="17.399999999999999">
      <c r="A1" s="65" t="s">
        <v>93</v>
      </c>
    </row>
    <row r="2" spans="1:10" s="66" customFormat="1" ht="15.6">
      <c r="A2" s="68" t="s">
        <v>627</v>
      </c>
    </row>
    <row r="3" spans="1:10" s="66" customFormat="1" ht="15.6">
      <c r="A3" s="68" t="s">
        <v>576</v>
      </c>
      <c r="B3" s="69"/>
      <c r="C3" s="69"/>
      <c r="D3" s="69"/>
      <c r="E3" s="69"/>
      <c r="F3" s="69"/>
      <c r="G3" s="69"/>
      <c r="H3" s="69"/>
      <c r="I3" s="69"/>
      <c r="J3" s="69"/>
    </row>
    <row r="4" spans="1:10" s="66" customFormat="1" ht="15.6">
      <c r="A4" s="70" t="s">
        <v>633</v>
      </c>
    </row>
    <row r="5" spans="1:10" s="66" customFormat="1" ht="15.6">
      <c r="A5" s="70"/>
    </row>
    <row r="6" spans="1:10" s="66" customFormat="1" ht="15.6">
      <c r="A6" s="70" t="s">
        <v>634</v>
      </c>
    </row>
    <row r="7" spans="1:10" s="66" customFormat="1" ht="15.6">
      <c r="A7" s="71"/>
    </row>
    <row r="8" spans="1:10" s="66" customFormat="1" ht="15.6">
      <c r="A8" s="119" t="s">
        <v>635</v>
      </c>
      <c r="B8" s="247"/>
      <c r="C8" s="247">
        <v>2016</v>
      </c>
      <c r="D8" s="248"/>
    </row>
    <row r="9" spans="1:10" s="66" customFormat="1" ht="15.6">
      <c r="A9" s="119" t="s">
        <v>636</v>
      </c>
      <c r="B9" s="247"/>
      <c r="C9" s="247">
        <v>65</v>
      </c>
      <c r="D9" s="248"/>
    </row>
    <row r="10" spans="1:10" s="66" customFormat="1" ht="15.6">
      <c r="A10" s="119" t="s">
        <v>637</v>
      </c>
      <c r="B10" s="247"/>
      <c r="C10" s="249">
        <v>200000</v>
      </c>
    </row>
    <row r="11" spans="1:10" s="66" customFormat="1" ht="15.6">
      <c r="A11" s="119" t="s">
        <v>638</v>
      </c>
      <c r="B11" s="247"/>
      <c r="C11" s="250" t="s">
        <v>639</v>
      </c>
    </row>
    <row r="12" spans="1:10" s="66" customFormat="1" ht="15.6">
      <c r="A12" s="119" t="s">
        <v>640</v>
      </c>
      <c r="B12" s="247"/>
      <c r="C12" s="247">
        <v>0</v>
      </c>
      <c r="D12" s="248"/>
    </row>
    <row r="13" spans="1:10" s="66" customFormat="1" ht="15.6">
      <c r="A13" s="119" t="s">
        <v>641</v>
      </c>
      <c r="B13" s="247"/>
      <c r="C13" s="250" t="s">
        <v>642</v>
      </c>
    </row>
    <row r="14" spans="1:10" s="66" customFormat="1" ht="15.6">
      <c r="A14" s="119" t="s">
        <v>643</v>
      </c>
      <c r="B14" s="247"/>
      <c r="C14" s="251" t="s">
        <v>644</v>
      </c>
      <c r="D14" s="248"/>
    </row>
    <row r="15" spans="1:10" s="66" customFormat="1" ht="15.6">
      <c r="A15" s="119" t="s">
        <v>645</v>
      </c>
      <c r="B15" s="247"/>
      <c r="C15" s="251" t="s">
        <v>646</v>
      </c>
      <c r="D15" s="248"/>
    </row>
    <row r="16" spans="1:10" s="66" customFormat="1" ht="15.6">
      <c r="A16" s="119" t="s">
        <v>647</v>
      </c>
      <c r="B16" s="247"/>
      <c r="C16" s="252">
        <v>0.03</v>
      </c>
    </row>
    <row r="17" spans="1:5" s="66" customFormat="1" ht="15.6">
      <c r="A17" s="119" t="s">
        <v>648</v>
      </c>
      <c r="B17" s="247"/>
      <c r="C17" s="252">
        <v>0.06</v>
      </c>
    </row>
    <row r="18" spans="1:5" s="66" customFormat="1" ht="15.6">
      <c r="A18" s="70"/>
    </row>
    <row r="19" spans="1:5" s="66" customFormat="1" ht="15.6">
      <c r="A19" s="70" t="s">
        <v>649</v>
      </c>
    </row>
    <row r="20" spans="1:5" s="66" customFormat="1" ht="16.2" thickBot="1">
      <c r="A20" s="70"/>
    </row>
    <row r="21" spans="1:5" s="66" customFormat="1" ht="16.8" thickTop="1" thickBot="1">
      <c r="A21" s="253"/>
      <c r="B21" s="1143" t="s">
        <v>650</v>
      </c>
      <c r="C21" s="1144"/>
      <c r="D21" s="1145" t="s">
        <v>651</v>
      </c>
      <c r="E21" s="1146"/>
    </row>
    <row r="22" spans="1:5" s="66" customFormat="1" ht="16.2" thickBot="1">
      <c r="A22" s="254" t="s">
        <v>652</v>
      </c>
      <c r="B22" s="255" t="s">
        <v>653</v>
      </c>
      <c r="C22" s="256" t="s">
        <v>654</v>
      </c>
      <c r="D22" s="255" t="s">
        <v>653</v>
      </c>
      <c r="E22" s="256" t="s">
        <v>654</v>
      </c>
    </row>
    <row r="23" spans="1:5" s="66" customFormat="1" ht="16.2" thickBot="1">
      <c r="A23" s="254">
        <v>65</v>
      </c>
      <c r="B23" s="257">
        <v>15</v>
      </c>
      <c r="C23" s="258">
        <v>14.76</v>
      </c>
      <c r="D23" s="79">
        <v>16.45</v>
      </c>
      <c r="E23" s="258">
        <v>16.149999999999999</v>
      </c>
    </row>
    <row r="24" spans="1:5" s="66" customFormat="1" ht="16.2" thickBot="1">
      <c r="A24" s="254">
        <v>66</v>
      </c>
      <c r="B24" s="257">
        <v>14.2</v>
      </c>
      <c r="C24" s="258">
        <v>13.96</v>
      </c>
      <c r="D24" s="79">
        <v>15.65</v>
      </c>
      <c r="E24" s="258">
        <v>15.35</v>
      </c>
    </row>
    <row r="25" spans="1:5" s="66" customFormat="1" ht="16.2" thickBot="1">
      <c r="A25" s="254">
        <v>67</v>
      </c>
      <c r="B25" s="257">
        <v>13.5</v>
      </c>
      <c r="C25" s="258">
        <v>13.26</v>
      </c>
      <c r="D25" s="79">
        <v>14.95</v>
      </c>
      <c r="E25" s="258">
        <v>14.65</v>
      </c>
    </row>
    <row r="26" spans="1:5" s="66" customFormat="1" ht="16.2" thickBot="1">
      <c r="A26" s="254">
        <v>68</v>
      </c>
      <c r="B26" s="257">
        <v>12.8</v>
      </c>
      <c r="C26" s="258">
        <v>12.56</v>
      </c>
      <c r="D26" s="79">
        <v>14.25</v>
      </c>
      <c r="E26" s="258">
        <v>13.95</v>
      </c>
    </row>
    <row r="27" spans="1:5" s="66" customFormat="1" ht="16.2" thickBot="1">
      <c r="A27" s="254">
        <v>69</v>
      </c>
      <c r="B27" s="257">
        <v>12.1</v>
      </c>
      <c r="C27" s="258">
        <v>11.86</v>
      </c>
      <c r="D27" s="79">
        <v>13.55</v>
      </c>
      <c r="E27" s="258">
        <v>13.25</v>
      </c>
    </row>
    <row r="28" spans="1:5" s="66" customFormat="1" ht="16.2" thickBot="1">
      <c r="A28" s="259">
        <v>70</v>
      </c>
      <c r="B28" s="260">
        <v>11.4</v>
      </c>
      <c r="C28" s="261">
        <v>11.16</v>
      </c>
      <c r="D28" s="262">
        <v>12.85</v>
      </c>
      <c r="E28" s="261">
        <v>12.55</v>
      </c>
    </row>
    <row r="29" spans="1:5" s="66" customFormat="1" ht="16.2" thickTop="1">
      <c r="A29" s="70"/>
    </row>
    <row r="30" spans="1:5" s="66" customFormat="1" ht="15.6">
      <c r="A30" s="71" t="s">
        <v>655</v>
      </c>
    </row>
    <row r="31" spans="1:5" s="66" customFormat="1" ht="15.6">
      <c r="A31" s="71"/>
    </row>
    <row r="32" spans="1:5" s="66" customFormat="1" ht="15.6">
      <c r="A32" s="234" t="s">
        <v>657</v>
      </c>
    </row>
    <row r="33" spans="1:1" ht="15.6">
      <c r="A33" s="233" t="s">
        <v>24</v>
      </c>
    </row>
    <row r="34" spans="1:1" ht="15.6">
      <c r="A34" s="263"/>
    </row>
  </sheetData>
  <mergeCells count="2">
    <mergeCell ref="B21:C21"/>
    <mergeCell ref="D21:E21"/>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002D0-A908-4D3D-A1D7-B8A6920027EC}">
  <dimension ref="A1:J33"/>
  <sheetViews>
    <sheetView workbookViewId="0"/>
  </sheetViews>
  <sheetFormatPr defaultColWidth="8.77734375" defaultRowHeight="14.4"/>
  <cols>
    <col min="1" max="1" width="8.77734375" style="67"/>
    <col min="2" max="2" width="36.77734375" style="67" customWidth="1"/>
    <col min="3" max="3" width="17.5546875" style="67" bestFit="1" customWidth="1"/>
    <col min="4" max="4" width="13.44140625" style="67" customWidth="1"/>
    <col min="5" max="5" width="15.5546875" style="67" customWidth="1"/>
    <col min="6" max="16384" width="8.77734375" style="67"/>
  </cols>
  <sheetData>
    <row r="1" spans="1:10" s="66" customFormat="1" ht="17.399999999999999">
      <c r="A1" s="65" t="s">
        <v>93</v>
      </c>
    </row>
    <row r="2" spans="1:10" s="66" customFormat="1" ht="15.6">
      <c r="A2" s="68" t="s">
        <v>627</v>
      </c>
    </row>
    <row r="3" spans="1:10" s="66" customFormat="1" ht="15.6">
      <c r="A3" s="68" t="s">
        <v>576</v>
      </c>
      <c r="B3" s="69"/>
      <c r="C3" s="69"/>
      <c r="D3" s="69"/>
      <c r="E3" s="69"/>
      <c r="F3" s="69"/>
      <c r="G3" s="69"/>
      <c r="H3" s="69"/>
      <c r="I3" s="69"/>
      <c r="J3" s="69"/>
    </row>
    <row r="4" spans="1:10" s="66" customFormat="1" ht="15.6">
      <c r="A4" s="70" t="s">
        <v>633</v>
      </c>
    </row>
    <row r="5" spans="1:10" s="66" customFormat="1" ht="15.6">
      <c r="A5" s="70"/>
    </row>
    <row r="6" spans="1:10" s="66" customFormat="1" ht="15.6">
      <c r="A6" s="70" t="s">
        <v>634</v>
      </c>
    </row>
    <row r="7" spans="1:10" s="66" customFormat="1" ht="15.6">
      <c r="A7" s="71"/>
    </row>
    <row r="8" spans="1:10" s="66" customFormat="1" ht="15.6">
      <c r="A8" s="119" t="s">
        <v>635</v>
      </c>
      <c r="B8" s="247"/>
      <c r="C8" s="247">
        <v>2016</v>
      </c>
      <c r="D8" s="248"/>
    </row>
    <row r="9" spans="1:10" s="66" customFormat="1" ht="15.6">
      <c r="A9" s="119" t="s">
        <v>636</v>
      </c>
      <c r="B9" s="247"/>
      <c r="C9" s="247">
        <v>65</v>
      </c>
      <c r="D9" s="248"/>
    </row>
    <row r="10" spans="1:10" s="66" customFormat="1" ht="15.6">
      <c r="A10" s="119" t="s">
        <v>637</v>
      </c>
      <c r="B10" s="247"/>
      <c r="C10" s="249">
        <v>200000</v>
      </c>
    </row>
    <row r="11" spans="1:10" s="66" customFormat="1" ht="15.6">
      <c r="A11" s="119" t="s">
        <v>638</v>
      </c>
      <c r="B11" s="247"/>
      <c r="C11" s="250" t="s">
        <v>639</v>
      </c>
    </row>
    <row r="12" spans="1:10" s="66" customFormat="1" ht="15.6">
      <c r="A12" s="119" t="s">
        <v>640</v>
      </c>
      <c r="B12" s="247"/>
      <c r="C12" s="247">
        <v>0</v>
      </c>
      <c r="D12" s="248"/>
    </row>
    <row r="13" spans="1:10" s="66" customFormat="1" ht="15.6">
      <c r="A13" s="119" t="s">
        <v>641</v>
      </c>
      <c r="B13" s="247"/>
      <c r="C13" s="250" t="s">
        <v>642</v>
      </c>
    </row>
    <row r="14" spans="1:10" s="66" customFormat="1" ht="15.6">
      <c r="A14" s="119" t="s">
        <v>643</v>
      </c>
      <c r="B14" s="247"/>
      <c r="C14" s="251" t="s">
        <v>644</v>
      </c>
      <c r="D14" s="248"/>
    </row>
    <row r="15" spans="1:10" s="66" customFormat="1" ht="15.6">
      <c r="A15" s="119" t="s">
        <v>645</v>
      </c>
      <c r="B15" s="247"/>
      <c r="C15" s="251" t="s">
        <v>646</v>
      </c>
      <c r="D15" s="248"/>
    </row>
    <row r="16" spans="1:10" s="66" customFormat="1" ht="15.6">
      <c r="A16" s="119" t="s">
        <v>647</v>
      </c>
      <c r="B16" s="247"/>
      <c r="C16" s="252">
        <v>0.03</v>
      </c>
    </row>
    <row r="17" spans="1:5" s="66" customFormat="1" ht="15.6">
      <c r="A17" s="119" t="s">
        <v>648</v>
      </c>
      <c r="B17" s="247"/>
      <c r="C17" s="252">
        <v>0.06</v>
      </c>
    </row>
    <row r="18" spans="1:5" s="66" customFormat="1" ht="15.6">
      <c r="A18" s="70"/>
    </row>
    <row r="19" spans="1:5" s="66" customFormat="1" ht="15.6">
      <c r="A19" s="70" t="s">
        <v>649</v>
      </c>
    </row>
    <row r="20" spans="1:5" s="66" customFormat="1" ht="16.2" thickBot="1">
      <c r="A20" s="70"/>
    </row>
    <row r="21" spans="1:5" s="66" customFormat="1" ht="16.8" thickTop="1" thickBot="1">
      <c r="A21" s="253"/>
      <c r="B21" s="1143" t="s">
        <v>650</v>
      </c>
      <c r="C21" s="1144"/>
      <c r="D21" s="1145" t="s">
        <v>651</v>
      </c>
      <c r="E21" s="1146"/>
    </row>
    <row r="22" spans="1:5" s="66" customFormat="1" ht="16.2" thickBot="1">
      <c r="A22" s="254" t="s">
        <v>652</v>
      </c>
      <c r="B22" s="255" t="s">
        <v>653</v>
      </c>
      <c r="C22" s="256" t="s">
        <v>654</v>
      </c>
      <c r="D22" s="255" t="s">
        <v>653</v>
      </c>
      <c r="E22" s="256" t="s">
        <v>654</v>
      </c>
    </row>
    <row r="23" spans="1:5" s="66" customFormat="1" ht="16.2" thickBot="1">
      <c r="A23" s="254">
        <v>65</v>
      </c>
      <c r="B23" s="257">
        <v>15</v>
      </c>
      <c r="C23" s="258">
        <v>14.76</v>
      </c>
      <c r="D23" s="79">
        <v>16.45</v>
      </c>
      <c r="E23" s="258">
        <v>16.149999999999999</v>
      </c>
    </row>
    <row r="24" spans="1:5" s="66" customFormat="1" ht="16.2" thickBot="1">
      <c r="A24" s="254">
        <v>66</v>
      </c>
      <c r="B24" s="257">
        <v>14.2</v>
      </c>
      <c r="C24" s="258">
        <v>13.96</v>
      </c>
      <c r="D24" s="79">
        <v>15.65</v>
      </c>
      <c r="E24" s="258">
        <v>15.35</v>
      </c>
    </row>
    <row r="25" spans="1:5" s="66" customFormat="1" ht="16.2" thickBot="1">
      <c r="A25" s="254">
        <v>67</v>
      </c>
      <c r="B25" s="257">
        <v>13.5</v>
      </c>
      <c r="C25" s="258">
        <v>13.26</v>
      </c>
      <c r="D25" s="79">
        <v>14.95</v>
      </c>
      <c r="E25" s="258">
        <v>14.65</v>
      </c>
    </row>
    <row r="26" spans="1:5" s="66" customFormat="1" ht="16.2" thickBot="1">
      <c r="A26" s="254">
        <v>68</v>
      </c>
      <c r="B26" s="257">
        <v>12.8</v>
      </c>
      <c r="C26" s="258">
        <v>12.56</v>
      </c>
      <c r="D26" s="79">
        <v>14.25</v>
      </c>
      <c r="E26" s="258">
        <v>13.95</v>
      </c>
    </row>
    <row r="27" spans="1:5" s="66" customFormat="1" ht="16.2" thickBot="1">
      <c r="A27" s="254">
        <v>69</v>
      </c>
      <c r="B27" s="257">
        <v>12.1</v>
      </c>
      <c r="C27" s="258">
        <v>11.86</v>
      </c>
      <c r="D27" s="79">
        <v>13.55</v>
      </c>
      <c r="E27" s="258">
        <v>13.25</v>
      </c>
    </row>
    <row r="28" spans="1:5" s="66" customFormat="1" ht="16.2" thickBot="1">
      <c r="A28" s="259">
        <v>70</v>
      </c>
      <c r="B28" s="260">
        <v>11.4</v>
      </c>
      <c r="C28" s="261">
        <v>11.16</v>
      </c>
      <c r="D28" s="262">
        <v>12.85</v>
      </c>
      <c r="E28" s="261">
        <v>12.55</v>
      </c>
    </row>
    <row r="29" spans="1:5" s="66" customFormat="1" ht="16.2" thickTop="1">
      <c r="A29" s="70"/>
    </row>
    <row r="30" spans="1:5" s="66" customFormat="1" ht="15.6">
      <c r="A30" s="71" t="s">
        <v>655</v>
      </c>
    </row>
    <row r="31" spans="1:5" s="66" customFormat="1" ht="15.6">
      <c r="A31" s="71"/>
    </row>
    <row r="32" spans="1:5" s="66" customFormat="1" ht="15.6">
      <c r="A32" s="234" t="s">
        <v>658</v>
      </c>
    </row>
    <row r="33" spans="1:1" ht="15.6">
      <c r="A33" s="233" t="s">
        <v>24</v>
      </c>
    </row>
  </sheetData>
  <mergeCells count="2">
    <mergeCell ref="B21:C21"/>
    <mergeCell ref="D21:E21"/>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670C3-8225-48AE-9EE0-91FED7625795}">
  <sheetPr>
    <tabColor theme="3"/>
  </sheetPr>
  <dimension ref="A1"/>
  <sheetViews>
    <sheetView workbookViewId="0">
      <selection activeCell="F17" sqref="F17"/>
    </sheetView>
  </sheetViews>
  <sheetFormatPr defaultRowHeight="13.2"/>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0DED-77F3-4920-B13D-914590A3A926}">
  <sheetPr codeName="Sheet34"/>
  <dimension ref="A1:N25"/>
  <sheetViews>
    <sheetView topLeftCell="A13" workbookViewId="0"/>
  </sheetViews>
  <sheetFormatPr defaultColWidth="8.77734375" defaultRowHeight="14.4"/>
  <cols>
    <col min="1" max="1" width="51.5546875" style="67" customWidth="1"/>
    <col min="2" max="4" width="14.44140625" style="67" customWidth="1"/>
    <col min="5" max="16384" width="8.77734375" style="67"/>
  </cols>
  <sheetData>
    <row r="1" spans="1:14" ht="17.399999999999999">
      <c r="A1" s="65" t="s">
        <v>305</v>
      </c>
      <c r="B1" s="66"/>
      <c r="C1" s="66"/>
      <c r="D1" s="66"/>
      <c r="E1" s="66"/>
      <c r="F1" s="66"/>
      <c r="G1" s="66"/>
      <c r="H1" s="66"/>
      <c r="I1" s="66"/>
      <c r="J1" s="66"/>
      <c r="K1" s="66"/>
      <c r="L1" s="66"/>
      <c r="M1" s="66"/>
      <c r="N1" s="66"/>
    </row>
    <row r="2" spans="1:14" ht="15.6">
      <c r="A2" s="68" t="s">
        <v>226</v>
      </c>
      <c r="B2" s="66"/>
      <c r="C2" s="66"/>
      <c r="D2" s="66"/>
      <c r="E2" s="66"/>
      <c r="F2" s="66"/>
      <c r="G2" s="66"/>
      <c r="H2" s="66"/>
      <c r="I2" s="66"/>
      <c r="J2" s="66"/>
      <c r="K2" s="66"/>
      <c r="L2" s="66"/>
      <c r="M2" s="66"/>
      <c r="N2" s="66"/>
    </row>
    <row r="3" spans="1:14" ht="15.6">
      <c r="A3" s="68" t="s">
        <v>227</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306</v>
      </c>
      <c r="B5" s="66"/>
      <c r="C5" s="66"/>
      <c r="D5" s="66"/>
      <c r="E5" s="66"/>
      <c r="F5" s="66"/>
      <c r="G5" s="66"/>
      <c r="H5" s="66"/>
      <c r="I5" s="66"/>
      <c r="J5" s="66"/>
      <c r="K5" s="66"/>
      <c r="L5" s="66"/>
      <c r="M5" s="66"/>
      <c r="N5" s="66"/>
    </row>
    <row r="6" spans="1:14" ht="15.6">
      <c r="A6" s="70" t="s">
        <v>307</v>
      </c>
      <c r="B6" s="66"/>
      <c r="C6" s="66"/>
      <c r="D6" s="66"/>
      <c r="E6" s="66"/>
      <c r="F6" s="66"/>
      <c r="G6" s="66"/>
      <c r="H6" s="66"/>
      <c r="I6" s="66"/>
      <c r="J6" s="66"/>
      <c r="K6" s="66"/>
      <c r="L6" s="66"/>
      <c r="M6" s="66"/>
      <c r="N6" s="66"/>
    </row>
    <row r="7" spans="1:14">
      <c r="A7" s="66"/>
      <c r="B7" s="66"/>
      <c r="C7" s="66"/>
      <c r="D7" s="66"/>
      <c r="E7" s="66"/>
      <c r="F7" s="66"/>
      <c r="G7" s="66"/>
      <c r="H7" s="66"/>
      <c r="I7" s="66"/>
      <c r="J7" s="66"/>
      <c r="K7" s="66"/>
      <c r="L7" s="66"/>
      <c r="M7" s="66"/>
      <c r="N7" s="66"/>
    </row>
    <row r="8" spans="1:14" ht="15.6">
      <c r="A8" s="70" t="s">
        <v>308</v>
      </c>
      <c r="B8" s="66"/>
      <c r="C8" s="66"/>
      <c r="D8" s="66"/>
      <c r="E8" s="66"/>
      <c r="F8" s="66"/>
      <c r="G8" s="66"/>
      <c r="H8" s="66"/>
      <c r="I8" s="66"/>
      <c r="J8" s="66"/>
      <c r="K8" s="66"/>
      <c r="L8" s="66"/>
      <c r="M8" s="66"/>
      <c r="N8" s="66"/>
    </row>
    <row r="9" spans="1:14" ht="15">
      <c r="A9" s="109"/>
      <c r="B9" s="66"/>
      <c r="C9" s="66"/>
      <c r="D9" s="66"/>
      <c r="E9" s="66"/>
      <c r="F9" s="66"/>
      <c r="G9" s="66"/>
      <c r="H9" s="66"/>
      <c r="I9" s="66"/>
      <c r="J9" s="66"/>
      <c r="K9" s="66"/>
      <c r="L9" s="66"/>
      <c r="M9" s="66"/>
      <c r="N9" s="66"/>
    </row>
    <row r="10" spans="1:14" ht="16.2" thickBot="1">
      <c r="A10" s="70" t="s">
        <v>309</v>
      </c>
      <c r="B10" s="66"/>
      <c r="C10" s="66"/>
      <c r="D10" s="66"/>
      <c r="E10" s="66"/>
      <c r="F10" s="66"/>
      <c r="G10" s="66"/>
      <c r="H10" s="66"/>
      <c r="I10" s="66"/>
      <c r="J10" s="66"/>
      <c r="K10" s="66"/>
      <c r="L10" s="66"/>
      <c r="M10" s="66"/>
      <c r="N10" s="66"/>
    </row>
    <row r="11" spans="1:14" ht="47.4" thickBot="1">
      <c r="A11" s="105" t="s">
        <v>310</v>
      </c>
      <c r="B11" s="148" t="s">
        <v>311</v>
      </c>
      <c r="C11" s="148" t="s">
        <v>312</v>
      </c>
      <c r="D11" s="148" t="s">
        <v>313</v>
      </c>
      <c r="E11" s="66"/>
      <c r="F11" s="66"/>
      <c r="G11" s="66"/>
      <c r="H11" s="66"/>
      <c r="I11" s="66"/>
      <c r="J11" s="66"/>
      <c r="K11" s="66"/>
      <c r="L11" s="66"/>
      <c r="M11" s="66"/>
      <c r="N11" s="66"/>
    </row>
    <row r="12" spans="1:14" ht="47.4" thickBot="1">
      <c r="A12" s="149" t="s">
        <v>314</v>
      </c>
      <c r="B12" s="150" t="s">
        <v>315</v>
      </c>
      <c r="C12" s="150" t="s">
        <v>316</v>
      </c>
      <c r="D12" s="150" t="s">
        <v>317</v>
      </c>
      <c r="E12" s="66"/>
      <c r="F12" s="66"/>
      <c r="G12" s="66"/>
      <c r="H12" s="66"/>
      <c r="I12" s="66"/>
      <c r="J12" s="66"/>
      <c r="K12" s="66"/>
      <c r="L12" s="66"/>
      <c r="M12" s="66"/>
      <c r="N12" s="66"/>
    </row>
    <row r="13" spans="1:14" ht="31.8" thickBot="1">
      <c r="A13" s="149" t="s">
        <v>318</v>
      </c>
      <c r="B13" s="150" t="s">
        <v>319</v>
      </c>
      <c r="C13" s="151">
        <v>1.5</v>
      </c>
      <c r="D13" s="150" t="s">
        <v>320</v>
      </c>
      <c r="E13" s="66"/>
      <c r="F13" s="66"/>
      <c r="G13" s="66"/>
      <c r="H13" s="66"/>
      <c r="I13" s="66"/>
      <c r="J13" s="66"/>
      <c r="K13" s="66"/>
      <c r="L13" s="66"/>
      <c r="M13" s="66"/>
      <c r="N13" s="66"/>
    </row>
    <row r="14" spans="1:14" ht="15.6">
      <c r="A14" s="70"/>
      <c r="B14" s="152"/>
      <c r="C14" s="152"/>
      <c r="D14" s="152"/>
      <c r="E14" s="66"/>
      <c r="F14" s="66"/>
      <c r="G14" s="66"/>
      <c r="H14" s="66"/>
      <c r="I14" s="66"/>
      <c r="J14" s="66"/>
      <c r="K14" s="66"/>
      <c r="L14" s="66"/>
      <c r="M14" s="66"/>
      <c r="N14" s="66"/>
    </row>
    <row r="15" spans="1:14" ht="15">
      <c r="A15" s="109"/>
      <c r="B15" s="152"/>
      <c r="C15" s="152"/>
      <c r="D15" s="152"/>
      <c r="E15" s="66"/>
      <c r="F15" s="66"/>
      <c r="G15" s="66"/>
      <c r="H15" s="66"/>
      <c r="I15" s="66"/>
      <c r="J15" s="66"/>
      <c r="K15" s="66"/>
      <c r="L15" s="66"/>
      <c r="M15" s="66"/>
      <c r="N15" s="66"/>
    </row>
    <row r="16" spans="1:14" ht="16.2" thickBot="1">
      <c r="A16" s="70" t="s">
        <v>321</v>
      </c>
      <c r="B16" s="152"/>
      <c r="C16" s="152"/>
      <c r="D16" s="152"/>
      <c r="E16" s="66"/>
      <c r="F16" s="66"/>
      <c r="G16" s="66"/>
      <c r="H16" s="66"/>
      <c r="I16" s="66"/>
      <c r="J16" s="66"/>
      <c r="K16" s="66"/>
      <c r="L16" s="66"/>
      <c r="M16" s="66"/>
      <c r="N16" s="66"/>
    </row>
    <row r="17" spans="1:14" ht="16.2" thickBot="1">
      <c r="A17" s="153"/>
      <c r="B17" s="135" t="s">
        <v>322</v>
      </c>
      <c r="C17" s="135" t="s">
        <v>323</v>
      </c>
      <c r="D17" s="152"/>
      <c r="E17" s="66"/>
      <c r="F17" s="66"/>
      <c r="G17" s="66"/>
      <c r="H17" s="66"/>
      <c r="I17" s="66"/>
      <c r="J17" s="66"/>
      <c r="K17" s="66"/>
      <c r="L17" s="66"/>
      <c r="M17" s="66"/>
      <c r="N17" s="66"/>
    </row>
    <row r="18" spans="1:14" ht="31.8" thickBot="1">
      <c r="A18" s="106" t="s">
        <v>324</v>
      </c>
      <c r="B18" s="154">
        <v>5.0000000000000001E-4</v>
      </c>
      <c r="C18" s="155">
        <v>0.02</v>
      </c>
      <c r="D18" s="152"/>
      <c r="E18" s="66"/>
      <c r="F18" s="66"/>
      <c r="G18" s="66"/>
      <c r="H18" s="66"/>
      <c r="I18" s="66"/>
      <c r="J18" s="66"/>
      <c r="K18" s="66"/>
      <c r="L18" s="66"/>
      <c r="M18" s="66"/>
      <c r="N18" s="66"/>
    </row>
    <row r="19" spans="1:14" ht="16.2" thickBot="1">
      <c r="A19" s="76" t="s">
        <v>325</v>
      </c>
      <c r="B19" s="155">
        <v>1.6</v>
      </c>
      <c r="C19" s="155">
        <v>1.9</v>
      </c>
      <c r="D19" s="152"/>
      <c r="E19" s="66"/>
      <c r="F19" s="66"/>
      <c r="G19" s="66"/>
      <c r="H19" s="66"/>
      <c r="I19" s="66"/>
      <c r="J19" s="66"/>
      <c r="K19" s="66"/>
      <c r="L19" s="66"/>
      <c r="M19" s="66"/>
      <c r="N19" s="66"/>
    </row>
    <row r="20" spans="1:14" ht="16.2" thickBot="1">
      <c r="A20" s="76" t="s">
        <v>326</v>
      </c>
      <c r="B20" s="156">
        <v>650000</v>
      </c>
      <c r="C20" s="156">
        <v>740000</v>
      </c>
      <c r="D20" s="152"/>
      <c r="E20" s="66"/>
      <c r="F20" s="66"/>
      <c r="G20" s="66"/>
      <c r="H20" s="66"/>
      <c r="I20" s="66"/>
      <c r="J20" s="66"/>
      <c r="K20" s="66"/>
      <c r="L20" s="66"/>
      <c r="M20" s="66"/>
      <c r="N20" s="66"/>
    </row>
    <row r="21" spans="1:14" ht="16.2" thickBot="1">
      <c r="A21" s="76" t="s">
        <v>327</v>
      </c>
      <c r="B21" s="155">
        <v>0.03</v>
      </c>
      <c r="C21" s="155">
        <v>0.04</v>
      </c>
      <c r="D21" s="152"/>
      <c r="E21" s="66"/>
      <c r="F21" s="66"/>
      <c r="G21" s="66"/>
      <c r="H21" s="66"/>
      <c r="I21" s="66"/>
      <c r="J21" s="66"/>
      <c r="K21" s="66"/>
      <c r="L21" s="66"/>
      <c r="M21" s="66"/>
      <c r="N21" s="66"/>
    </row>
    <row r="22" spans="1:14" ht="15.6">
      <c r="A22" s="157"/>
      <c r="B22" s="66"/>
      <c r="C22" s="66"/>
      <c r="D22" s="66"/>
      <c r="E22" s="66"/>
      <c r="F22" s="66"/>
      <c r="G22" s="66"/>
      <c r="H22" s="66"/>
      <c r="I22" s="66"/>
      <c r="J22" s="66"/>
      <c r="K22" s="66"/>
      <c r="L22" s="66"/>
      <c r="M22" s="66"/>
      <c r="N22" s="66"/>
    </row>
    <row r="23" spans="1:14" ht="15.6">
      <c r="A23" s="157" t="s">
        <v>328</v>
      </c>
      <c r="B23" s="66"/>
      <c r="C23" s="66"/>
      <c r="D23" s="66"/>
      <c r="E23" s="66"/>
      <c r="F23" s="66"/>
      <c r="G23" s="66"/>
      <c r="H23" s="66"/>
      <c r="I23" s="66"/>
      <c r="J23" s="66"/>
      <c r="K23" s="66"/>
      <c r="L23" s="66"/>
      <c r="M23" s="66"/>
      <c r="N23" s="66"/>
    </row>
    <row r="24" spans="1:14" ht="15.6">
      <c r="A24" s="104" t="s">
        <v>24</v>
      </c>
    </row>
    <row r="25" spans="1:14">
      <c r="A25" s="85"/>
    </row>
  </sheetData>
  <pageMargins left="0.7" right="0.7" top="0.75" bottom="0.75" header="0.3" footer="0.3"/>
  <pageSetup orientation="portrait" verticalDpi="9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EB54B-76F0-4067-AE21-6D26E136FA05}">
  <sheetPr codeName="Sheet35"/>
  <dimension ref="A1:N33"/>
  <sheetViews>
    <sheetView topLeftCell="A20" workbookViewId="0"/>
  </sheetViews>
  <sheetFormatPr defaultColWidth="8.77734375" defaultRowHeight="14.4"/>
  <cols>
    <col min="1" max="1" width="51.5546875" style="67" customWidth="1"/>
    <col min="2" max="4" width="14.44140625" style="67" customWidth="1"/>
    <col min="5" max="16384" width="8.77734375" style="67"/>
  </cols>
  <sheetData>
    <row r="1" spans="1:14" ht="17.399999999999999">
      <c r="A1" s="65" t="s">
        <v>305</v>
      </c>
      <c r="B1" s="66"/>
      <c r="C1" s="66"/>
      <c r="D1" s="66"/>
      <c r="E1" s="66"/>
      <c r="F1" s="66"/>
      <c r="G1" s="66"/>
      <c r="H1" s="66"/>
      <c r="I1" s="66"/>
      <c r="J1" s="66"/>
      <c r="K1" s="66"/>
      <c r="L1" s="66"/>
      <c r="M1" s="66"/>
      <c r="N1" s="66"/>
    </row>
    <row r="2" spans="1:14" ht="15.6">
      <c r="A2" s="68" t="s">
        <v>226</v>
      </c>
      <c r="B2" s="66"/>
      <c r="C2" s="66"/>
      <c r="D2" s="66"/>
      <c r="E2" s="66"/>
      <c r="F2" s="66"/>
      <c r="G2" s="66"/>
      <c r="H2" s="66"/>
      <c r="I2" s="66"/>
      <c r="J2" s="66"/>
      <c r="K2" s="66"/>
      <c r="L2" s="66"/>
      <c r="M2" s="66"/>
      <c r="N2" s="66"/>
    </row>
    <row r="3" spans="1:14" ht="15.6">
      <c r="A3" s="68" t="s">
        <v>227</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306</v>
      </c>
      <c r="B5" s="66"/>
      <c r="C5" s="66"/>
      <c r="D5" s="66"/>
      <c r="E5" s="66"/>
      <c r="F5" s="66"/>
      <c r="G5" s="66"/>
      <c r="H5" s="66"/>
      <c r="I5" s="66"/>
      <c r="J5" s="66"/>
      <c r="K5" s="66"/>
      <c r="L5" s="66"/>
      <c r="M5" s="66"/>
      <c r="N5" s="66"/>
    </row>
    <row r="6" spans="1:14" ht="15.6">
      <c r="A6" s="70" t="s">
        <v>307</v>
      </c>
      <c r="B6" s="66"/>
      <c r="C6" s="66"/>
      <c r="D6" s="66"/>
      <c r="E6" s="66"/>
      <c r="F6" s="66"/>
      <c r="G6" s="66"/>
      <c r="H6" s="66"/>
      <c r="I6" s="66"/>
      <c r="J6" s="66"/>
      <c r="K6" s="66"/>
      <c r="L6" s="66"/>
      <c r="M6" s="66"/>
      <c r="N6" s="66"/>
    </row>
    <row r="7" spans="1:14">
      <c r="A7" s="66"/>
      <c r="B7" s="66"/>
      <c r="C7" s="66"/>
      <c r="D7" s="66"/>
      <c r="E7" s="66"/>
      <c r="F7" s="66"/>
      <c r="G7" s="66"/>
      <c r="H7" s="66"/>
      <c r="I7" s="66"/>
      <c r="J7" s="66"/>
      <c r="K7" s="66"/>
      <c r="L7" s="66"/>
      <c r="M7" s="66"/>
      <c r="N7" s="66"/>
    </row>
    <row r="8" spans="1:14" ht="15.6">
      <c r="A8" s="70" t="s">
        <v>308</v>
      </c>
      <c r="B8" s="66"/>
      <c r="C8" s="66"/>
      <c r="D8" s="66"/>
      <c r="E8" s="66"/>
      <c r="F8" s="66"/>
      <c r="G8" s="66"/>
      <c r="H8" s="66"/>
      <c r="I8" s="66"/>
      <c r="J8" s="66"/>
      <c r="K8" s="66"/>
      <c r="L8" s="66"/>
      <c r="M8" s="66"/>
      <c r="N8" s="66"/>
    </row>
    <row r="9" spans="1:14" ht="15">
      <c r="A9" s="109"/>
      <c r="B9" s="66"/>
      <c r="C9" s="66"/>
      <c r="D9" s="66"/>
      <c r="E9" s="66"/>
      <c r="F9" s="66"/>
      <c r="G9" s="66"/>
      <c r="H9" s="66"/>
      <c r="I9" s="66"/>
      <c r="J9" s="66"/>
      <c r="K9" s="66"/>
      <c r="L9" s="66"/>
      <c r="M9" s="66"/>
      <c r="N9" s="66"/>
    </row>
    <row r="10" spans="1:14" ht="16.2" thickBot="1">
      <c r="A10" s="70" t="s">
        <v>309</v>
      </c>
      <c r="B10" s="66"/>
      <c r="C10" s="66"/>
      <c r="D10" s="66"/>
      <c r="E10" s="66"/>
      <c r="F10" s="66"/>
      <c r="G10" s="66"/>
      <c r="H10" s="66"/>
      <c r="I10" s="66"/>
      <c r="J10" s="66"/>
      <c r="K10" s="66"/>
      <c r="L10" s="66"/>
      <c r="M10" s="66"/>
      <c r="N10" s="66"/>
    </row>
    <row r="11" spans="1:14" ht="47.4" thickBot="1">
      <c r="A11" s="105" t="s">
        <v>310</v>
      </c>
      <c r="B11" s="148" t="s">
        <v>311</v>
      </c>
      <c r="C11" s="148" t="s">
        <v>312</v>
      </c>
      <c r="D11" s="148" t="s">
        <v>313</v>
      </c>
      <c r="E11" s="66"/>
      <c r="F11" s="66"/>
      <c r="G11" s="66"/>
      <c r="H11" s="66"/>
      <c r="I11" s="66"/>
      <c r="J11" s="66"/>
      <c r="K11" s="66"/>
      <c r="L11" s="66"/>
      <c r="M11" s="66"/>
      <c r="N11" s="66"/>
    </row>
    <row r="12" spans="1:14" ht="47.4" thickBot="1">
      <c r="A12" s="149" t="s">
        <v>314</v>
      </c>
      <c r="B12" s="150" t="s">
        <v>315</v>
      </c>
      <c r="C12" s="150" t="s">
        <v>316</v>
      </c>
      <c r="D12" s="150" t="s">
        <v>317</v>
      </c>
      <c r="E12" s="66"/>
      <c r="F12" s="66"/>
      <c r="G12" s="66"/>
      <c r="H12" s="66"/>
      <c r="I12" s="66"/>
      <c r="J12" s="66"/>
      <c r="K12" s="66"/>
      <c r="L12" s="66"/>
      <c r="M12" s="66"/>
      <c r="N12" s="66"/>
    </row>
    <row r="13" spans="1:14" ht="31.8" thickBot="1">
      <c r="A13" s="149" t="s">
        <v>318</v>
      </c>
      <c r="B13" s="150" t="s">
        <v>319</v>
      </c>
      <c r="C13" s="151">
        <v>1.5</v>
      </c>
      <c r="D13" s="150" t="s">
        <v>320</v>
      </c>
      <c r="E13" s="66"/>
      <c r="F13" s="66"/>
      <c r="G13" s="66"/>
      <c r="H13" s="66"/>
      <c r="I13" s="66"/>
      <c r="J13" s="66"/>
      <c r="K13" s="66"/>
      <c r="L13" s="66"/>
      <c r="M13" s="66"/>
      <c r="N13" s="66"/>
    </row>
    <row r="14" spans="1:14" ht="15.6">
      <c r="A14" s="70"/>
      <c r="B14" s="152"/>
      <c r="C14" s="152"/>
      <c r="D14" s="152"/>
      <c r="E14" s="66"/>
      <c r="F14" s="66"/>
      <c r="G14" s="66"/>
      <c r="H14" s="66"/>
      <c r="I14" s="66"/>
      <c r="J14" s="66"/>
      <c r="K14" s="66"/>
      <c r="L14" s="66"/>
      <c r="M14" s="66"/>
      <c r="N14" s="66"/>
    </row>
    <row r="15" spans="1:14" ht="15">
      <c r="A15" s="109"/>
      <c r="B15" s="152"/>
      <c r="C15" s="152"/>
      <c r="D15" s="152"/>
      <c r="E15" s="66"/>
      <c r="F15" s="66"/>
      <c r="G15" s="66"/>
      <c r="H15" s="66"/>
      <c r="I15" s="66"/>
      <c r="J15" s="66"/>
      <c r="K15" s="66"/>
      <c r="L15" s="66"/>
      <c r="M15" s="66"/>
      <c r="N15" s="66"/>
    </row>
    <row r="16" spans="1:14" ht="16.2" thickBot="1">
      <c r="A16" s="70" t="s">
        <v>321</v>
      </c>
      <c r="B16" s="152"/>
      <c r="C16" s="152"/>
      <c r="D16" s="152"/>
      <c r="E16" s="66"/>
      <c r="F16" s="66"/>
      <c r="G16" s="66"/>
      <c r="H16" s="66"/>
      <c r="I16" s="66"/>
      <c r="J16" s="66"/>
      <c r="K16" s="66"/>
      <c r="L16" s="66"/>
      <c r="M16" s="66"/>
      <c r="N16" s="66"/>
    </row>
    <row r="17" spans="1:14" ht="16.2" thickBot="1">
      <c r="A17" s="153"/>
      <c r="B17" s="135" t="s">
        <v>322</v>
      </c>
      <c r="C17" s="135" t="s">
        <v>323</v>
      </c>
      <c r="D17" s="152"/>
      <c r="E17" s="66"/>
      <c r="F17" s="66"/>
      <c r="G17" s="66"/>
      <c r="H17" s="66"/>
      <c r="I17" s="66"/>
      <c r="J17" s="66"/>
      <c r="K17" s="66"/>
      <c r="L17" s="66"/>
      <c r="M17" s="66"/>
      <c r="N17" s="66"/>
    </row>
    <row r="18" spans="1:14" ht="31.8" thickBot="1">
      <c r="A18" s="106" t="s">
        <v>324</v>
      </c>
      <c r="B18" s="154">
        <v>5.0000000000000001E-4</v>
      </c>
      <c r="C18" s="155">
        <v>0.02</v>
      </c>
      <c r="D18" s="152"/>
      <c r="E18" s="66"/>
      <c r="F18" s="66"/>
      <c r="G18" s="66"/>
      <c r="H18" s="66"/>
      <c r="I18" s="66"/>
      <c r="J18" s="66"/>
      <c r="K18" s="66"/>
      <c r="L18" s="66"/>
      <c r="M18" s="66"/>
      <c r="N18" s="66"/>
    </row>
    <row r="19" spans="1:14" ht="16.2" thickBot="1">
      <c r="A19" s="76" t="s">
        <v>325</v>
      </c>
      <c r="B19" s="155">
        <v>1.6</v>
      </c>
      <c r="C19" s="155">
        <v>1.9</v>
      </c>
      <c r="D19" s="152"/>
      <c r="E19" s="66"/>
      <c r="F19" s="66"/>
      <c r="G19" s="66"/>
      <c r="H19" s="66"/>
      <c r="I19" s="66"/>
      <c r="J19" s="66"/>
      <c r="K19" s="66"/>
      <c r="L19" s="66"/>
      <c r="M19" s="66"/>
      <c r="N19" s="66"/>
    </row>
    <row r="20" spans="1:14" ht="16.2" thickBot="1">
      <c r="A20" s="76" t="s">
        <v>326</v>
      </c>
      <c r="B20" s="156">
        <v>650000</v>
      </c>
      <c r="C20" s="156">
        <v>740000</v>
      </c>
      <c r="D20" s="152"/>
      <c r="E20" s="66"/>
      <c r="F20" s="66"/>
      <c r="G20" s="66"/>
      <c r="H20" s="66"/>
      <c r="I20" s="66"/>
      <c r="J20" s="66"/>
      <c r="K20" s="66"/>
      <c r="L20" s="66"/>
      <c r="M20" s="66"/>
      <c r="N20" s="66"/>
    </row>
    <row r="21" spans="1:14" ht="16.2" thickBot="1">
      <c r="A21" s="76" t="s">
        <v>327</v>
      </c>
      <c r="B21" s="155">
        <v>0.03</v>
      </c>
      <c r="C21" s="155">
        <v>0.04</v>
      </c>
      <c r="D21" s="152"/>
      <c r="E21" s="66"/>
      <c r="F21" s="66"/>
      <c r="G21" s="66"/>
      <c r="H21" s="66"/>
      <c r="I21" s="66"/>
      <c r="J21" s="66"/>
      <c r="K21" s="66"/>
      <c r="L21" s="66"/>
      <c r="M21" s="66"/>
      <c r="N21" s="66"/>
    </row>
    <row r="22" spans="1:14" ht="15.6">
      <c r="A22" s="157"/>
      <c r="B22" s="66"/>
      <c r="C22" s="66"/>
      <c r="D22" s="66"/>
      <c r="E22" s="66"/>
      <c r="F22" s="66"/>
      <c r="G22" s="66"/>
      <c r="H22" s="66"/>
      <c r="I22" s="66"/>
      <c r="J22" s="66"/>
      <c r="K22" s="66"/>
      <c r="L22" s="66"/>
      <c r="M22" s="66"/>
      <c r="N22" s="66"/>
    </row>
    <row r="23" spans="1:14" ht="15.6">
      <c r="A23" s="157" t="s">
        <v>329</v>
      </c>
      <c r="B23" s="66"/>
      <c r="C23" s="66"/>
      <c r="D23" s="66"/>
      <c r="E23" s="66"/>
      <c r="F23" s="66"/>
      <c r="G23" s="66"/>
      <c r="H23" s="66"/>
      <c r="I23" s="66"/>
      <c r="J23" s="66"/>
      <c r="K23" s="66"/>
      <c r="L23" s="66"/>
      <c r="M23" s="66"/>
      <c r="N23" s="66"/>
    </row>
    <row r="24" spans="1:14" ht="15.6">
      <c r="A24" s="70"/>
      <c r="B24" s="66"/>
      <c r="C24" s="66"/>
      <c r="D24" s="66"/>
      <c r="E24" s="66"/>
      <c r="F24" s="66"/>
      <c r="G24" s="66"/>
      <c r="H24" s="66"/>
      <c r="I24" s="66"/>
      <c r="J24" s="66"/>
      <c r="K24" s="66"/>
      <c r="L24" s="66"/>
      <c r="M24" s="66"/>
      <c r="N24" s="66"/>
    </row>
    <row r="25" spans="1:14" ht="15.6">
      <c r="A25" s="158" t="s">
        <v>330</v>
      </c>
      <c r="B25" s="66"/>
      <c r="C25" s="66"/>
      <c r="D25" s="66"/>
      <c r="E25" s="66"/>
      <c r="F25" s="66"/>
      <c r="G25" s="66"/>
      <c r="H25" s="66"/>
      <c r="I25" s="66"/>
      <c r="J25" s="66"/>
      <c r="K25" s="66"/>
      <c r="L25" s="66"/>
      <c r="M25" s="66"/>
      <c r="N25" s="66"/>
    </row>
    <row r="26" spans="1:14" ht="15.6">
      <c r="A26" s="159"/>
      <c r="B26" s="66"/>
      <c r="C26" s="66"/>
      <c r="D26" s="66"/>
      <c r="E26" s="66"/>
      <c r="F26" s="66"/>
      <c r="G26" s="66"/>
      <c r="H26" s="66"/>
      <c r="I26" s="66"/>
      <c r="J26" s="66"/>
      <c r="K26" s="66"/>
      <c r="L26" s="66"/>
      <c r="M26" s="66"/>
      <c r="N26" s="66"/>
    </row>
    <row r="27" spans="1:14" ht="16.2" thickBot="1">
      <c r="A27" s="70" t="s">
        <v>331</v>
      </c>
      <c r="B27" s="66"/>
      <c r="C27" s="66"/>
      <c r="D27" s="66"/>
      <c r="E27" s="66"/>
      <c r="F27" s="66"/>
      <c r="G27" s="66"/>
      <c r="H27" s="66"/>
      <c r="I27" s="66"/>
      <c r="J27" s="66"/>
      <c r="K27" s="66"/>
      <c r="L27" s="66"/>
      <c r="M27" s="66"/>
      <c r="N27" s="66"/>
    </row>
    <row r="28" spans="1:14" ht="16.2" thickBot="1">
      <c r="A28" s="105" t="s">
        <v>310</v>
      </c>
      <c r="B28" s="160" t="s">
        <v>79</v>
      </c>
      <c r="C28" s="66"/>
      <c r="D28" s="66"/>
      <c r="E28" s="66"/>
      <c r="F28" s="66"/>
      <c r="G28" s="66"/>
      <c r="H28" s="66"/>
      <c r="I28" s="66"/>
      <c r="J28" s="66"/>
      <c r="K28" s="66"/>
      <c r="L28" s="66"/>
      <c r="M28" s="66"/>
      <c r="N28" s="66"/>
    </row>
    <row r="29" spans="1:14" ht="16.2" thickBot="1">
      <c r="A29" s="149" t="s">
        <v>332</v>
      </c>
      <c r="B29" s="161">
        <v>-50000</v>
      </c>
      <c r="C29" s="66"/>
      <c r="D29" s="66"/>
      <c r="E29" s="66"/>
      <c r="F29" s="66"/>
      <c r="G29" s="66"/>
      <c r="H29" s="66"/>
      <c r="I29" s="66"/>
      <c r="J29" s="66"/>
      <c r="K29" s="66"/>
      <c r="L29" s="66"/>
      <c r="M29" s="66"/>
      <c r="N29" s="66"/>
    </row>
    <row r="30" spans="1:14" ht="16.2" thickBot="1">
      <c r="A30" s="149" t="s">
        <v>333</v>
      </c>
      <c r="B30" s="161">
        <v>500000</v>
      </c>
      <c r="C30" s="66"/>
      <c r="D30" s="66"/>
      <c r="E30" s="66"/>
      <c r="F30" s="66"/>
      <c r="G30" s="66"/>
      <c r="H30" s="66"/>
      <c r="I30" s="66"/>
      <c r="J30" s="66"/>
      <c r="K30" s="66"/>
      <c r="L30" s="66"/>
      <c r="M30" s="66"/>
      <c r="N30" s="66"/>
    </row>
    <row r="31" spans="1:14" ht="15.6">
      <c r="A31" s="70"/>
      <c r="B31" s="66"/>
      <c r="C31" s="66"/>
      <c r="D31" s="66"/>
      <c r="E31" s="66"/>
      <c r="F31" s="66"/>
      <c r="G31" s="66"/>
      <c r="H31" s="66"/>
      <c r="I31" s="66"/>
      <c r="J31" s="66"/>
      <c r="K31" s="66"/>
      <c r="L31" s="66"/>
      <c r="M31" s="66"/>
      <c r="N31" s="66"/>
    </row>
    <row r="32" spans="1:14" ht="15.6">
      <c r="A32" s="157" t="s">
        <v>334</v>
      </c>
      <c r="B32" s="66"/>
      <c r="C32" s="66"/>
      <c r="D32" s="66"/>
      <c r="E32" s="66"/>
      <c r="F32" s="66"/>
      <c r="G32" s="66"/>
      <c r="H32" s="66"/>
      <c r="I32" s="66"/>
      <c r="J32" s="66"/>
      <c r="K32" s="66"/>
      <c r="L32" s="66"/>
      <c r="M32" s="66"/>
      <c r="N32" s="66"/>
    </row>
    <row r="33" spans="1:1" ht="15.6">
      <c r="A33" s="104" t="s">
        <v>24</v>
      </c>
    </row>
  </sheetData>
  <pageMargins left="0.7" right="0.7" top="0.75" bottom="0.75" header="0.3" footer="0.3"/>
  <pageSetup orientation="portrait" verticalDpi="9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22BE-9A76-4708-8ADC-820468C57408}">
  <sheetPr>
    <tabColor theme="5" tint="0.79998168889431442"/>
  </sheetPr>
  <dimension ref="B3:J15"/>
  <sheetViews>
    <sheetView showGridLines="0" workbookViewId="0"/>
  </sheetViews>
  <sheetFormatPr defaultColWidth="8.77734375" defaultRowHeight="13.8"/>
  <cols>
    <col min="1" max="1" width="8.77734375" style="204"/>
    <col min="2" max="2" width="33.44140625" style="204" customWidth="1"/>
    <col min="3" max="4" width="13" style="204" bestFit="1" customWidth="1"/>
    <col min="5" max="8" width="8.77734375" style="204"/>
    <col min="9" max="9" width="20.77734375" style="204" customWidth="1"/>
    <col min="10" max="16384" width="8.77734375" style="204"/>
  </cols>
  <sheetData>
    <row r="3" spans="2:10" ht="14.4" thickBot="1">
      <c r="C3" s="205" t="s">
        <v>322</v>
      </c>
      <c r="D3" s="205" t="s">
        <v>323</v>
      </c>
    </row>
    <row r="4" spans="2:10" ht="63" thickBot="1">
      <c r="B4" s="206" t="s">
        <v>556</v>
      </c>
      <c r="C4" s="207">
        <v>5.0000000000000001E-4</v>
      </c>
      <c r="D4" s="208">
        <v>0.02</v>
      </c>
      <c r="E4" s="205"/>
      <c r="G4" s="209" t="s">
        <v>310</v>
      </c>
      <c r="H4" s="209" t="s">
        <v>311</v>
      </c>
      <c r="I4" s="209" t="s">
        <v>557</v>
      </c>
      <c r="J4" s="209" t="s">
        <v>313</v>
      </c>
    </row>
    <row r="5" spans="2:10" ht="16.2" thickBot="1">
      <c r="B5" s="210" t="s">
        <v>558</v>
      </c>
      <c r="C5" s="211">
        <v>1.6</v>
      </c>
      <c r="D5" s="212">
        <v>1.9</v>
      </c>
      <c r="G5" s="213" t="s">
        <v>314</v>
      </c>
      <c r="H5" s="213" t="s">
        <v>315</v>
      </c>
      <c r="I5" s="214">
        <v>1</v>
      </c>
      <c r="J5" s="213" t="s">
        <v>317</v>
      </c>
    </row>
    <row r="6" spans="2:10" ht="16.2" thickBot="1">
      <c r="B6" s="210" t="s">
        <v>326</v>
      </c>
      <c r="C6" s="215">
        <v>650000</v>
      </c>
      <c r="D6" s="216">
        <v>740000</v>
      </c>
      <c r="G6" s="217" t="s">
        <v>323</v>
      </c>
      <c r="H6" s="217" t="s">
        <v>319</v>
      </c>
      <c r="I6" s="218">
        <v>1.5</v>
      </c>
      <c r="J6" s="217" t="s">
        <v>320</v>
      </c>
    </row>
    <row r="7" spans="2:10" ht="16.2" thickBot="1">
      <c r="B7" s="210" t="s">
        <v>327</v>
      </c>
      <c r="C7" s="211">
        <v>0.03</v>
      </c>
      <c r="D7" s="212">
        <v>0.04</v>
      </c>
    </row>
    <row r="9" spans="2:10" ht="15.6">
      <c r="B9" s="219" t="s">
        <v>559</v>
      </c>
      <c r="C9" s="220" t="s">
        <v>560</v>
      </c>
      <c r="D9" s="221"/>
      <c r="F9" s="222"/>
      <c r="G9" s="222"/>
    </row>
    <row r="10" spans="2:10" ht="15.6">
      <c r="B10" s="219"/>
      <c r="C10" s="223" t="s">
        <v>561</v>
      </c>
      <c r="D10" s="224" t="s">
        <v>562</v>
      </c>
      <c r="F10" s="222"/>
      <c r="G10" s="222"/>
    </row>
    <row r="11" spans="2:10" ht="15.6">
      <c r="B11" s="219"/>
      <c r="C11" s="225">
        <f>C5-I5</f>
        <v>0.60000000000000009</v>
      </c>
      <c r="D11" s="225">
        <f>D5-I6</f>
        <v>0.39999999999999991</v>
      </c>
      <c r="F11" s="222"/>
      <c r="G11" s="222"/>
    </row>
    <row r="12" spans="2:10" ht="15.6">
      <c r="B12" s="219" t="s">
        <v>563</v>
      </c>
      <c r="C12" s="224" t="s">
        <v>564</v>
      </c>
      <c r="F12" s="222"/>
      <c r="G12" s="222"/>
    </row>
    <row r="13" spans="2:10" ht="15.6">
      <c r="B13" s="219"/>
      <c r="C13" s="226">
        <f>C11*C6</f>
        <v>390000.00000000006</v>
      </c>
      <c r="D13" s="226">
        <f>D11*D6</f>
        <v>295999.99999999994</v>
      </c>
      <c r="F13" s="222"/>
      <c r="G13" s="222"/>
    </row>
    <row r="14" spans="2:10" ht="15.6">
      <c r="B14" s="219" t="s">
        <v>565</v>
      </c>
      <c r="C14" s="224" t="s">
        <v>566</v>
      </c>
    </row>
    <row r="15" spans="2:10">
      <c r="C15" s="227">
        <f>C13/(1+C7)</f>
        <v>378640.7766990292</v>
      </c>
      <c r="D15" s="227">
        <f>D13/(1+D7)</f>
        <v>284615.38461538457</v>
      </c>
    </row>
  </sheetData>
  <pageMargins left="0.7" right="0.7" top="0.75" bottom="0.75" header="0.3" footer="0.3"/>
  <pageSetup orientation="portrait" horizontalDpi="200" verticalDpi="20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59F9B-FCB5-4789-A478-22007BBD73F4}">
  <sheetPr codeName="Sheet36"/>
  <dimension ref="A1:N24"/>
  <sheetViews>
    <sheetView workbookViewId="0"/>
  </sheetViews>
  <sheetFormatPr defaultColWidth="9.21875" defaultRowHeight="14.4"/>
  <cols>
    <col min="1" max="1" width="19.5546875" style="67" customWidth="1"/>
    <col min="2" max="4" width="14.44140625" style="67" customWidth="1"/>
    <col min="5" max="16384" width="9.21875" style="67"/>
  </cols>
  <sheetData>
    <row r="1" spans="1:14" ht="17.399999999999999">
      <c r="A1" s="65" t="s">
        <v>335</v>
      </c>
      <c r="B1" s="66"/>
      <c r="C1" s="66"/>
      <c r="D1" s="66"/>
      <c r="E1" s="66"/>
      <c r="F1" s="66"/>
      <c r="G1" s="66"/>
      <c r="H1" s="66"/>
      <c r="I1" s="66"/>
      <c r="J1" s="66"/>
      <c r="K1" s="66"/>
      <c r="L1" s="66"/>
      <c r="M1" s="66"/>
      <c r="N1" s="66"/>
    </row>
    <row r="2" spans="1:14" ht="15.6">
      <c r="A2" s="68" t="s">
        <v>336</v>
      </c>
      <c r="B2" s="66"/>
      <c r="C2" s="66"/>
      <c r="D2" s="66"/>
      <c r="E2" s="66"/>
      <c r="F2" s="66"/>
      <c r="G2" s="66"/>
      <c r="H2" s="66"/>
      <c r="I2" s="66"/>
      <c r="J2" s="66"/>
      <c r="K2" s="66"/>
      <c r="L2" s="66"/>
      <c r="M2" s="66"/>
      <c r="N2" s="66"/>
    </row>
    <row r="3" spans="1:14" ht="15.6">
      <c r="A3" s="68" t="s">
        <v>337</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338</v>
      </c>
      <c r="B5" s="66"/>
      <c r="C5" s="66"/>
      <c r="D5" s="66"/>
      <c r="E5" s="66"/>
      <c r="F5" s="66"/>
      <c r="G5" s="66"/>
      <c r="H5" s="66"/>
      <c r="I5" s="66"/>
      <c r="J5" s="66"/>
      <c r="K5" s="66"/>
      <c r="L5" s="66"/>
      <c r="M5" s="66"/>
      <c r="N5" s="66"/>
    </row>
    <row r="6" spans="1:14" ht="15.6">
      <c r="A6" s="70"/>
      <c r="B6" s="66"/>
      <c r="C6" s="66"/>
      <c r="D6" s="66"/>
      <c r="E6" s="66"/>
      <c r="F6" s="66"/>
      <c r="G6" s="66"/>
      <c r="H6" s="66"/>
      <c r="I6" s="66"/>
      <c r="J6" s="66"/>
      <c r="K6" s="66"/>
      <c r="L6" s="66"/>
      <c r="M6" s="66"/>
      <c r="N6" s="66"/>
    </row>
    <row r="7" spans="1:14" ht="15.6">
      <c r="A7" s="70" t="s">
        <v>339</v>
      </c>
      <c r="B7" s="66"/>
      <c r="C7" s="66"/>
      <c r="D7" s="66"/>
      <c r="E7" s="66"/>
      <c r="F7" s="66"/>
      <c r="G7" s="66"/>
      <c r="H7" s="66"/>
      <c r="I7" s="66"/>
      <c r="J7" s="66"/>
      <c r="K7" s="66"/>
      <c r="L7" s="66"/>
      <c r="M7" s="66"/>
      <c r="N7" s="66"/>
    </row>
    <row r="8" spans="1:14" ht="15.6">
      <c r="A8" s="70"/>
      <c r="B8" s="66"/>
      <c r="C8" s="66"/>
      <c r="D8" s="66"/>
      <c r="E8" s="66"/>
      <c r="F8" s="66"/>
      <c r="G8" s="66"/>
      <c r="H8" s="66"/>
      <c r="I8" s="66"/>
      <c r="J8" s="66"/>
      <c r="K8" s="66"/>
      <c r="L8" s="66"/>
      <c r="M8" s="66"/>
      <c r="N8" s="66"/>
    </row>
    <row r="9" spans="1:14" ht="15.6">
      <c r="A9" s="162" t="s">
        <v>340</v>
      </c>
      <c r="B9" s="66"/>
      <c r="C9" s="66"/>
      <c r="D9" s="66"/>
      <c r="E9" s="66"/>
      <c r="F9" s="66"/>
      <c r="G9" s="66"/>
      <c r="H9" s="66"/>
      <c r="I9" s="66"/>
      <c r="J9" s="66"/>
      <c r="K9" s="66"/>
      <c r="L9" s="66"/>
      <c r="M9" s="66"/>
      <c r="N9" s="66"/>
    </row>
    <row r="10" spans="1:14" ht="15.6">
      <c r="A10" s="163"/>
      <c r="B10" s="66"/>
      <c r="C10" s="66"/>
      <c r="D10" s="66"/>
      <c r="E10" s="66"/>
      <c r="F10" s="66"/>
      <c r="G10" s="66"/>
      <c r="H10" s="66"/>
      <c r="I10" s="66"/>
      <c r="J10" s="66"/>
      <c r="K10" s="66"/>
      <c r="L10" s="66"/>
      <c r="M10" s="66"/>
      <c r="N10" s="66"/>
    </row>
    <row r="11" spans="1:14" ht="15.6">
      <c r="A11" s="162" t="s">
        <v>341</v>
      </c>
      <c r="B11" s="66"/>
      <c r="C11" s="66"/>
      <c r="D11" s="66"/>
      <c r="E11" s="66"/>
      <c r="F11" s="66"/>
      <c r="G11" s="66"/>
      <c r="H11" s="66"/>
      <c r="I11" s="66"/>
      <c r="J11" s="66"/>
      <c r="K11" s="66"/>
      <c r="L11" s="66"/>
      <c r="M11" s="66"/>
      <c r="N11" s="66"/>
    </row>
    <row r="12" spans="1:14" ht="15.6">
      <c r="A12" s="163"/>
      <c r="B12" s="66"/>
      <c r="C12" s="66"/>
      <c r="D12" s="66"/>
      <c r="E12" s="66"/>
      <c r="F12" s="66"/>
      <c r="G12" s="66"/>
      <c r="H12" s="66"/>
      <c r="I12" s="66"/>
      <c r="J12" s="66"/>
      <c r="K12" s="66"/>
      <c r="L12" s="66"/>
      <c r="M12" s="66"/>
      <c r="N12" s="66"/>
    </row>
    <row r="13" spans="1:14" ht="15.6">
      <c r="A13" s="70" t="s">
        <v>342</v>
      </c>
      <c r="B13" s="66"/>
      <c r="C13" s="66"/>
      <c r="D13" s="66"/>
      <c r="E13" s="66"/>
      <c r="F13" s="66"/>
      <c r="G13" s="66"/>
      <c r="H13" s="66"/>
      <c r="I13" s="66"/>
      <c r="J13" s="66"/>
      <c r="K13" s="66"/>
      <c r="L13" s="66"/>
      <c r="M13" s="66"/>
      <c r="N13" s="66"/>
    </row>
    <row r="14" spans="1:14" ht="16.2" thickBot="1">
      <c r="A14" s="70"/>
      <c r="B14" s="66"/>
      <c r="C14" s="66"/>
      <c r="D14" s="66"/>
      <c r="E14" s="66"/>
      <c r="F14" s="66"/>
      <c r="G14" s="66"/>
      <c r="H14" s="66"/>
      <c r="I14" s="66"/>
      <c r="J14" s="66"/>
      <c r="K14" s="66"/>
      <c r="L14" s="66"/>
      <c r="M14" s="66"/>
      <c r="N14" s="66"/>
    </row>
    <row r="15" spans="1:14" ht="16.2" thickBot="1">
      <c r="A15" s="110" t="s">
        <v>343</v>
      </c>
      <c r="B15" s="135" t="s">
        <v>344</v>
      </c>
      <c r="C15" s="66"/>
      <c r="D15" s="66"/>
      <c r="E15" s="66"/>
      <c r="F15" s="66"/>
      <c r="G15" s="66"/>
      <c r="H15" s="66"/>
      <c r="I15" s="66"/>
      <c r="J15" s="66"/>
      <c r="K15" s="66"/>
      <c r="L15" s="66"/>
      <c r="M15" s="66"/>
      <c r="N15" s="66"/>
    </row>
    <row r="16" spans="1:14" ht="16.2" thickBot="1">
      <c r="A16" s="137" t="s">
        <v>345</v>
      </c>
      <c r="B16" s="113">
        <v>2.5</v>
      </c>
      <c r="C16" s="66"/>
      <c r="D16" s="66"/>
      <c r="E16" s="66"/>
      <c r="F16" s="66"/>
      <c r="G16" s="66"/>
      <c r="H16" s="66"/>
      <c r="I16" s="66"/>
      <c r="J16" s="66"/>
      <c r="K16" s="66"/>
      <c r="L16" s="66"/>
      <c r="M16" s="66"/>
      <c r="N16" s="66"/>
    </row>
    <row r="17" spans="1:14" ht="16.2" thickBot="1">
      <c r="A17" s="137" t="s">
        <v>346</v>
      </c>
      <c r="B17" s="113">
        <v>1.3</v>
      </c>
      <c r="C17" s="66"/>
      <c r="D17" s="66"/>
      <c r="E17" s="66"/>
      <c r="F17" s="66"/>
      <c r="G17" s="66"/>
      <c r="H17" s="66"/>
      <c r="I17" s="66"/>
      <c r="J17" s="66"/>
      <c r="K17" s="66"/>
      <c r="L17" s="66"/>
      <c r="M17" s="66"/>
      <c r="N17" s="66"/>
    </row>
    <row r="18" spans="1:14" ht="16.2" thickBot="1">
      <c r="A18" s="137" t="s">
        <v>347</v>
      </c>
      <c r="B18" s="113">
        <v>1</v>
      </c>
      <c r="C18" s="66"/>
      <c r="D18" s="66"/>
      <c r="E18" s="66"/>
      <c r="F18" s="66"/>
      <c r="G18" s="66"/>
      <c r="H18" s="66"/>
      <c r="I18" s="66"/>
      <c r="J18" s="66"/>
      <c r="K18" s="66"/>
      <c r="L18" s="66"/>
      <c r="M18" s="66"/>
      <c r="N18" s="66"/>
    </row>
    <row r="19" spans="1:14" ht="16.2" thickBot="1">
      <c r="A19" s="137" t="s">
        <v>348</v>
      </c>
      <c r="B19" s="113">
        <v>0.9</v>
      </c>
      <c r="C19" s="66"/>
      <c r="D19" s="66"/>
      <c r="E19" s="66"/>
      <c r="F19" s="66"/>
      <c r="G19" s="66"/>
      <c r="H19" s="66"/>
      <c r="I19" s="66"/>
      <c r="J19" s="66"/>
      <c r="K19" s="66"/>
      <c r="L19" s="66"/>
      <c r="M19" s="66"/>
      <c r="N19" s="66"/>
    </row>
    <row r="20" spans="1:14" ht="15.6">
      <c r="A20" s="70"/>
      <c r="B20" s="66"/>
      <c r="C20" s="66"/>
      <c r="D20" s="66"/>
      <c r="E20" s="66"/>
      <c r="F20" s="66"/>
      <c r="G20" s="66"/>
      <c r="H20" s="66"/>
      <c r="I20" s="66"/>
      <c r="J20" s="66"/>
      <c r="K20" s="66"/>
      <c r="L20" s="66"/>
      <c r="M20" s="66"/>
      <c r="N20" s="66"/>
    </row>
    <row r="21" spans="1:14" ht="15.6">
      <c r="A21" s="70"/>
      <c r="B21" s="66"/>
      <c r="C21" s="66"/>
      <c r="D21" s="66"/>
      <c r="E21" s="66"/>
      <c r="F21" s="66"/>
      <c r="G21" s="66"/>
      <c r="H21" s="66"/>
      <c r="I21" s="66"/>
      <c r="J21" s="66"/>
      <c r="K21" s="66"/>
      <c r="L21" s="66"/>
      <c r="M21" s="66"/>
      <c r="N21" s="66"/>
    </row>
    <row r="22" spans="1:14" ht="15.6">
      <c r="A22" s="157" t="s">
        <v>349</v>
      </c>
      <c r="B22" s="66"/>
      <c r="C22" s="66"/>
      <c r="D22" s="66"/>
      <c r="E22" s="66"/>
      <c r="F22" s="66"/>
      <c r="G22" s="66"/>
      <c r="H22" s="66"/>
      <c r="I22" s="66"/>
      <c r="J22" s="66"/>
      <c r="K22" s="66"/>
      <c r="L22" s="66"/>
      <c r="M22" s="66"/>
      <c r="N22" s="66"/>
    </row>
    <row r="23" spans="1:14" ht="15.6">
      <c r="A23" s="104" t="s">
        <v>24</v>
      </c>
    </row>
    <row r="24" spans="1:14">
      <c r="A24" s="85"/>
    </row>
  </sheetData>
  <pageMargins left="0.7" right="0.7" top="0.75" bottom="0.75" header="0.3" footer="0.3"/>
  <pageSetup orientation="portrait" verticalDpi="90"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746D1-016D-441A-B098-1E4D8F5727EA}">
  <sheetPr codeName="Sheet37"/>
  <dimension ref="A1:N48"/>
  <sheetViews>
    <sheetView topLeftCell="A42" workbookViewId="0"/>
  </sheetViews>
  <sheetFormatPr defaultColWidth="9.21875" defaultRowHeight="14.4"/>
  <cols>
    <col min="1" max="1" width="19.5546875" style="67" customWidth="1"/>
    <col min="2" max="4" width="14.44140625" style="67" customWidth="1"/>
    <col min="5" max="16384" width="9.21875" style="67"/>
  </cols>
  <sheetData>
    <row r="1" spans="1:14" ht="17.399999999999999">
      <c r="A1" s="65" t="s">
        <v>335</v>
      </c>
      <c r="B1" s="66"/>
      <c r="C1" s="66"/>
      <c r="D1" s="66"/>
      <c r="E1" s="66"/>
      <c r="F1" s="66"/>
      <c r="G1" s="66"/>
      <c r="H1" s="66"/>
      <c r="I1" s="66"/>
      <c r="J1" s="66"/>
      <c r="K1" s="66"/>
      <c r="L1" s="66"/>
      <c r="M1" s="66"/>
      <c r="N1" s="66"/>
    </row>
    <row r="2" spans="1:14" ht="15.6">
      <c r="A2" s="68" t="s">
        <v>336</v>
      </c>
      <c r="B2" s="66"/>
      <c r="C2" s="66"/>
      <c r="D2" s="66"/>
      <c r="E2" s="66"/>
      <c r="F2" s="66"/>
      <c r="G2" s="66"/>
      <c r="H2" s="66"/>
      <c r="I2" s="66"/>
      <c r="J2" s="66"/>
      <c r="K2" s="66"/>
      <c r="L2" s="66"/>
      <c r="M2" s="66"/>
      <c r="N2" s="66"/>
    </row>
    <row r="3" spans="1:14" ht="15.6">
      <c r="A3" s="68" t="s">
        <v>337</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338</v>
      </c>
      <c r="B5" s="66"/>
      <c r="C5" s="66"/>
      <c r="D5" s="66"/>
      <c r="E5" s="66"/>
      <c r="F5" s="66"/>
      <c r="G5" s="66"/>
      <c r="H5" s="66"/>
      <c r="I5" s="66"/>
      <c r="J5" s="66"/>
      <c r="K5" s="66"/>
      <c r="L5" s="66"/>
      <c r="M5" s="66"/>
      <c r="N5" s="66"/>
    </row>
    <row r="6" spans="1:14" ht="15.6">
      <c r="A6" s="70"/>
      <c r="B6" s="66"/>
      <c r="C6" s="66"/>
      <c r="D6" s="66"/>
      <c r="E6" s="66"/>
      <c r="F6" s="66"/>
      <c r="G6" s="66"/>
      <c r="H6" s="66"/>
      <c r="I6" s="66"/>
      <c r="J6" s="66"/>
      <c r="K6" s="66"/>
      <c r="L6" s="66"/>
      <c r="M6" s="66"/>
      <c r="N6" s="66"/>
    </row>
    <row r="7" spans="1:14" ht="15.6">
      <c r="A7" s="70" t="s">
        <v>339</v>
      </c>
      <c r="B7" s="66"/>
      <c r="C7" s="66"/>
      <c r="D7" s="66"/>
      <c r="E7" s="66"/>
      <c r="F7" s="66"/>
      <c r="G7" s="66"/>
      <c r="H7" s="66"/>
      <c r="I7" s="66"/>
      <c r="J7" s="66"/>
      <c r="K7" s="66"/>
      <c r="L7" s="66"/>
      <c r="M7" s="66"/>
      <c r="N7" s="66"/>
    </row>
    <row r="8" spans="1:14" ht="15.6">
      <c r="A8" s="70"/>
      <c r="B8" s="66"/>
      <c r="C8" s="66"/>
      <c r="D8" s="66"/>
      <c r="E8" s="66"/>
      <c r="F8" s="66"/>
      <c r="G8" s="66"/>
      <c r="H8" s="66"/>
      <c r="I8" s="66"/>
      <c r="J8" s="66"/>
      <c r="K8" s="66"/>
      <c r="L8" s="66"/>
      <c r="M8" s="66"/>
      <c r="N8" s="66"/>
    </row>
    <row r="9" spans="1:14" ht="15.6">
      <c r="A9" s="162" t="s">
        <v>340</v>
      </c>
      <c r="B9" s="66"/>
      <c r="C9" s="66"/>
      <c r="D9" s="66"/>
      <c r="E9" s="66"/>
      <c r="F9" s="66"/>
      <c r="G9" s="66"/>
      <c r="H9" s="66"/>
      <c r="I9" s="66"/>
      <c r="J9" s="66"/>
      <c r="K9" s="66"/>
      <c r="L9" s="66"/>
      <c r="M9" s="66"/>
      <c r="N9" s="66"/>
    </row>
    <row r="10" spans="1:14" ht="15.6">
      <c r="A10" s="163"/>
      <c r="B10" s="66"/>
      <c r="C10" s="66"/>
      <c r="D10" s="66"/>
      <c r="E10" s="66"/>
      <c r="F10" s="66"/>
      <c r="G10" s="66"/>
      <c r="H10" s="66"/>
      <c r="I10" s="66"/>
      <c r="J10" s="66"/>
      <c r="K10" s="66"/>
      <c r="L10" s="66"/>
      <c r="M10" s="66"/>
      <c r="N10" s="66"/>
    </row>
    <row r="11" spans="1:14" ht="15.6">
      <c r="A11" s="162" t="s">
        <v>341</v>
      </c>
      <c r="B11" s="66"/>
      <c r="C11" s="66"/>
      <c r="D11" s="66"/>
      <c r="E11" s="66"/>
      <c r="F11" s="66"/>
      <c r="G11" s="66"/>
      <c r="H11" s="66"/>
      <c r="I11" s="66"/>
      <c r="J11" s="66"/>
      <c r="K11" s="66"/>
      <c r="L11" s="66"/>
      <c r="M11" s="66"/>
      <c r="N11" s="66"/>
    </row>
    <row r="12" spans="1:14" ht="15.6">
      <c r="A12" s="163"/>
      <c r="B12" s="66"/>
      <c r="C12" s="66"/>
      <c r="D12" s="66"/>
      <c r="E12" s="66"/>
      <c r="F12" s="66"/>
      <c r="G12" s="66"/>
      <c r="H12" s="66"/>
      <c r="I12" s="66"/>
      <c r="J12" s="66"/>
      <c r="K12" s="66"/>
      <c r="L12" s="66"/>
      <c r="M12" s="66"/>
      <c r="N12" s="66"/>
    </row>
    <row r="13" spans="1:14" ht="15.6">
      <c r="A13" s="70" t="s">
        <v>342</v>
      </c>
      <c r="B13" s="66"/>
      <c r="C13" s="66"/>
      <c r="D13" s="66"/>
      <c r="E13" s="66"/>
      <c r="F13" s="66"/>
      <c r="G13" s="66"/>
      <c r="H13" s="66"/>
      <c r="I13" s="66"/>
      <c r="J13" s="66"/>
      <c r="K13" s="66"/>
      <c r="L13" s="66"/>
      <c r="M13" s="66"/>
      <c r="N13" s="66"/>
    </row>
    <row r="14" spans="1:14" ht="16.2" thickBot="1">
      <c r="A14" s="70"/>
      <c r="B14" s="66"/>
      <c r="C14" s="66"/>
      <c r="D14" s="66"/>
      <c r="E14" s="66"/>
      <c r="F14" s="66"/>
      <c r="G14" s="66"/>
      <c r="H14" s="66"/>
      <c r="I14" s="66"/>
      <c r="J14" s="66"/>
      <c r="K14" s="66"/>
      <c r="L14" s="66"/>
      <c r="M14" s="66"/>
      <c r="N14" s="66"/>
    </row>
    <row r="15" spans="1:14" ht="16.2" thickBot="1">
      <c r="A15" s="110" t="s">
        <v>343</v>
      </c>
      <c r="B15" s="135" t="s">
        <v>344</v>
      </c>
      <c r="C15" s="66"/>
      <c r="D15" s="66"/>
      <c r="E15" s="66"/>
      <c r="F15" s="66"/>
      <c r="G15" s="66"/>
      <c r="H15" s="66"/>
      <c r="I15" s="66"/>
      <c r="J15" s="66"/>
      <c r="K15" s="66"/>
      <c r="L15" s="66"/>
      <c r="M15" s="66"/>
      <c r="N15" s="66"/>
    </row>
    <row r="16" spans="1:14" ht="16.2" thickBot="1">
      <c r="A16" s="137" t="s">
        <v>345</v>
      </c>
      <c r="B16" s="113">
        <v>2.5</v>
      </c>
      <c r="C16" s="66"/>
      <c r="D16" s="66"/>
      <c r="E16" s="66"/>
      <c r="F16" s="66"/>
      <c r="G16" s="66"/>
      <c r="H16" s="66"/>
      <c r="I16" s="66"/>
      <c r="J16" s="66"/>
      <c r="K16" s="66"/>
      <c r="L16" s="66"/>
      <c r="M16" s="66"/>
      <c r="N16" s="66"/>
    </row>
    <row r="17" spans="1:14" ht="16.2" thickBot="1">
      <c r="A17" s="137" t="s">
        <v>346</v>
      </c>
      <c r="B17" s="113">
        <v>1.3</v>
      </c>
      <c r="C17" s="66"/>
      <c r="D17" s="66"/>
      <c r="E17" s="66"/>
      <c r="F17" s="66"/>
      <c r="G17" s="66"/>
      <c r="H17" s="66"/>
      <c r="I17" s="66"/>
      <c r="J17" s="66"/>
      <c r="K17" s="66"/>
      <c r="L17" s="66"/>
      <c r="M17" s="66"/>
      <c r="N17" s="66"/>
    </row>
    <row r="18" spans="1:14" ht="16.2" thickBot="1">
      <c r="A18" s="137" t="s">
        <v>347</v>
      </c>
      <c r="B18" s="113">
        <v>1</v>
      </c>
      <c r="C18" s="66"/>
      <c r="D18" s="66"/>
      <c r="E18" s="66"/>
      <c r="F18" s="66"/>
      <c r="G18" s="66"/>
      <c r="H18" s="66"/>
      <c r="I18" s="66"/>
      <c r="J18" s="66"/>
      <c r="K18" s="66"/>
      <c r="L18" s="66"/>
      <c r="M18" s="66"/>
      <c r="N18" s="66"/>
    </row>
    <row r="19" spans="1:14" ht="16.2" thickBot="1">
      <c r="A19" s="137" t="s">
        <v>348</v>
      </c>
      <c r="B19" s="113">
        <v>0.9</v>
      </c>
      <c r="C19" s="66"/>
      <c r="D19" s="66"/>
      <c r="E19" s="66"/>
      <c r="F19" s="66"/>
      <c r="G19" s="66"/>
      <c r="H19" s="66"/>
      <c r="I19" s="66"/>
      <c r="J19" s="66"/>
      <c r="K19" s="66"/>
      <c r="L19" s="66"/>
      <c r="M19" s="66"/>
      <c r="N19" s="66"/>
    </row>
    <row r="20" spans="1:14" ht="15.6">
      <c r="A20" s="70"/>
      <c r="B20" s="66"/>
      <c r="C20" s="66"/>
      <c r="D20" s="66"/>
      <c r="E20" s="66"/>
      <c r="F20" s="66"/>
      <c r="G20" s="66"/>
      <c r="H20" s="66"/>
      <c r="I20" s="66"/>
      <c r="J20" s="66"/>
      <c r="K20" s="66"/>
      <c r="L20" s="66"/>
      <c r="M20" s="66"/>
      <c r="N20" s="66"/>
    </row>
    <row r="21" spans="1:14" ht="15.6">
      <c r="A21" s="70"/>
      <c r="B21" s="66"/>
      <c r="C21" s="66"/>
      <c r="D21" s="66"/>
      <c r="E21" s="66"/>
      <c r="F21" s="66"/>
      <c r="G21" s="66"/>
      <c r="H21" s="66"/>
      <c r="I21" s="66"/>
      <c r="J21" s="66"/>
      <c r="K21" s="66"/>
      <c r="L21" s="66"/>
      <c r="M21" s="66"/>
      <c r="N21" s="66"/>
    </row>
    <row r="22" spans="1:14" ht="15.6">
      <c r="A22" s="157" t="s">
        <v>350</v>
      </c>
      <c r="B22" s="66"/>
      <c r="C22" s="66"/>
      <c r="D22" s="66"/>
      <c r="E22" s="66"/>
      <c r="F22" s="66"/>
      <c r="G22" s="66"/>
      <c r="H22" s="66"/>
      <c r="I22" s="66"/>
      <c r="J22" s="66"/>
      <c r="K22" s="66"/>
      <c r="L22" s="66"/>
      <c r="M22" s="66"/>
      <c r="N22" s="66"/>
    </row>
    <row r="23" spans="1:14" ht="15.6">
      <c r="A23" s="157" t="s">
        <v>351</v>
      </c>
      <c r="B23" s="66"/>
      <c r="C23" s="66"/>
      <c r="D23" s="66"/>
      <c r="E23" s="66"/>
      <c r="F23" s="66"/>
      <c r="G23" s="66"/>
      <c r="H23" s="66"/>
      <c r="I23" s="66"/>
      <c r="J23" s="66"/>
      <c r="K23" s="66"/>
      <c r="L23" s="66"/>
      <c r="M23" s="66"/>
      <c r="N23" s="66"/>
    </row>
    <row r="24" spans="1:14" ht="16.2" thickBot="1">
      <c r="A24" s="157"/>
      <c r="B24" s="66"/>
      <c r="C24" s="66"/>
      <c r="D24" s="66"/>
      <c r="E24" s="66"/>
      <c r="F24" s="66"/>
      <c r="G24" s="66"/>
      <c r="H24" s="66"/>
      <c r="I24" s="66"/>
      <c r="J24" s="66"/>
      <c r="K24" s="66"/>
      <c r="L24" s="66"/>
      <c r="M24" s="66"/>
      <c r="N24" s="66"/>
    </row>
    <row r="25" spans="1:14" ht="16.2" thickBot="1">
      <c r="A25" s="164" t="s">
        <v>352</v>
      </c>
      <c r="B25" s="81" t="s">
        <v>353</v>
      </c>
      <c r="C25" s="81" t="s">
        <v>354</v>
      </c>
      <c r="D25" s="66"/>
      <c r="E25" s="66"/>
      <c r="F25" s="66"/>
      <c r="G25" s="66"/>
      <c r="H25" s="66"/>
      <c r="I25" s="66"/>
      <c r="J25" s="66"/>
      <c r="K25" s="66"/>
      <c r="L25" s="66"/>
      <c r="M25" s="66"/>
      <c r="N25" s="66"/>
    </row>
    <row r="26" spans="1:14" ht="16.2" thickBot="1">
      <c r="A26" s="77">
        <v>1</v>
      </c>
      <c r="B26" s="78">
        <v>-30</v>
      </c>
      <c r="C26" s="165">
        <v>0.02</v>
      </c>
      <c r="D26" s="66"/>
      <c r="E26" s="66"/>
      <c r="F26" s="66"/>
      <c r="G26" s="66"/>
      <c r="H26" s="66"/>
      <c r="I26" s="66"/>
      <c r="J26" s="66"/>
      <c r="K26" s="66"/>
      <c r="L26" s="66"/>
      <c r="M26" s="66"/>
      <c r="N26" s="66"/>
    </row>
    <row r="27" spans="1:14" ht="16.2" thickBot="1">
      <c r="A27" s="77">
        <v>2</v>
      </c>
      <c r="B27" s="78">
        <v>-50</v>
      </c>
      <c r="C27" s="165">
        <v>0.03</v>
      </c>
      <c r="D27" s="66"/>
      <c r="E27" s="66"/>
      <c r="F27" s="66"/>
      <c r="G27" s="66"/>
      <c r="H27" s="66"/>
      <c r="I27" s="66"/>
      <c r="J27" s="66"/>
      <c r="K27" s="66"/>
      <c r="L27" s="66"/>
      <c r="M27" s="66"/>
      <c r="N27" s="66"/>
    </row>
    <row r="28" spans="1:14" ht="16.2" thickBot="1">
      <c r="A28" s="77">
        <v>3</v>
      </c>
      <c r="B28" s="78">
        <v>-30</v>
      </c>
      <c r="C28" s="165">
        <v>0.04</v>
      </c>
      <c r="D28" s="66"/>
      <c r="E28" s="66"/>
      <c r="F28" s="66"/>
      <c r="G28" s="66"/>
      <c r="H28" s="66"/>
      <c r="I28" s="66"/>
      <c r="J28" s="66"/>
      <c r="K28" s="66"/>
      <c r="L28" s="66"/>
      <c r="M28" s="66"/>
      <c r="N28" s="66"/>
    </row>
    <row r="29" spans="1:14" ht="16.2" thickBot="1">
      <c r="A29" s="77">
        <v>4</v>
      </c>
      <c r="B29" s="78">
        <v>0</v>
      </c>
      <c r="C29" s="165">
        <v>0.04</v>
      </c>
      <c r="D29" s="66"/>
      <c r="E29" s="66"/>
      <c r="F29" s="66"/>
      <c r="G29" s="66"/>
      <c r="H29" s="66"/>
      <c r="I29" s="66"/>
      <c r="J29" s="66"/>
      <c r="K29" s="66"/>
      <c r="L29" s="66"/>
      <c r="M29" s="66"/>
      <c r="N29" s="66"/>
    </row>
    <row r="30" spans="1:14" ht="16.2" thickBot="1">
      <c r="A30" s="77">
        <v>5</v>
      </c>
      <c r="B30" s="78">
        <v>30</v>
      </c>
      <c r="C30" s="165">
        <v>0.04</v>
      </c>
      <c r="D30" s="66"/>
      <c r="E30" s="66"/>
      <c r="F30" s="66"/>
      <c r="G30" s="66"/>
      <c r="H30" s="66"/>
      <c r="I30" s="66"/>
      <c r="J30" s="66"/>
      <c r="K30" s="66"/>
      <c r="L30" s="66"/>
      <c r="M30" s="66"/>
      <c r="N30" s="66"/>
    </row>
    <row r="31" spans="1:14" ht="16.2" thickBot="1">
      <c r="A31" s="77">
        <v>6</v>
      </c>
      <c r="B31" s="78">
        <v>60</v>
      </c>
      <c r="C31" s="165">
        <v>0.04</v>
      </c>
      <c r="D31" s="66"/>
      <c r="E31" s="66"/>
      <c r="F31" s="66"/>
      <c r="G31" s="66"/>
      <c r="H31" s="66"/>
      <c r="I31" s="66"/>
      <c r="J31" s="66"/>
      <c r="K31" s="66"/>
      <c r="L31" s="66"/>
      <c r="M31" s="66"/>
      <c r="N31" s="66"/>
    </row>
    <row r="32" spans="1:14" ht="16.2" thickBot="1">
      <c r="A32" s="77">
        <v>7</v>
      </c>
      <c r="B32" s="78">
        <v>90</v>
      </c>
      <c r="C32" s="165">
        <v>0.04</v>
      </c>
      <c r="D32" s="66"/>
      <c r="E32" s="66"/>
      <c r="F32" s="66"/>
      <c r="G32" s="66"/>
      <c r="H32" s="66"/>
      <c r="I32" s="66"/>
      <c r="J32" s="66"/>
      <c r="K32" s="66"/>
      <c r="L32" s="66"/>
      <c r="M32" s="66"/>
      <c r="N32" s="66"/>
    </row>
    <row r="33" spans="1:14" ht="16.2" thickBot="1">
      <c r="A33" s="77">
        <v>8</v>
      </c>
      <c r="B33" s="78">
        <v>120</v>
      </c>
      <c r="C33" s="165">
        <v>0.04</v>
      </c>
      <c r="D33" s="66"/>
      <c r="E33" s="66"/>
      <c r="F33" s="66"/>
      <c r="G33" s="66"/>
      <c r="H33" s="66"/>
      <c r="I33" s="66"/>
      <c r="J33" s="66"/>
      <c r="K33" s="66"/>
      <c r="L33" s="66"/>
      <c r="M33" s="66"/>
      <c r="N33" s="66"/>
    </row>
    <row r="34" spans="1:14" ht="16.2" thickBot="1">
      <c r="A34" s="77">
        <v>9</v>
      </c>
      <c r="B34" s="78">
        <v>140</v>
      </c>
      <c r="C34" s="165">
        <v>0.04</v>
      </c>
      <c r="D34" s="66"/>
      <c r="E34" s="66"/>
      <c r="F34" s="66"/>
      <c r="G34" s="66"/>
      <c r="H34" s="66"/>
      <c r="I34" s="66"/>
      <c r="J34" s="66"/>
      <c r="K34" s="66"/>
      <c r="L34" s="66"/>
      <c r="M34" s="66"/>
      <c r="N34" s="66"/>
    </row>
    <row r="35" spans="1:14" ht="16.2" thickBot="1">
      <c r="A35" s="77">
        <v>10</v>
      </c>
      <c r="B35" s="78">
        <v>130</v>
      </c>
      <c r="C35" s="165">
        <v>0.04</v>
      </c>
      <c r="D35" s="66"/>
      <c r="E35" s="66"/>
      <c r="F35" s="66"/>
      <c r="G35" s="66"/>
      <c r="H35" s="66"/>
      <c r="I35" s="66"/>
      <c r="J35" s="66"/>
      <c r="K35" s="66"/>
      <c r="L35" s="66"/>
      <c r="M35" s="66"/>
      <c r="N35" s="66"/>
    </row>
    <row r="36" spans="1:14" ht="16.2" thickBot="1">
      <c r="A36" s="77">
        <v>11</v>
      </c>
      <c r="B36" s="78">
        <v>120</v>
      </c>
      <c r="C36" s="165">
        <v>0.04</v>
      </c>
      <c r="D36" s="66"/>
      <c r="E36" s="66"/>
      <c r="F36" s="66"/>
      <c r="G36" s="66"/>
      <c r="H36" s="66"/>
      <c r="I36" s="66"/>
      <c r="J36" s="66"/>
      <c r="K36" s="66"/>
      <c r="L36" s="66"/>
      <c r="M36" s="66"/>
      <c r="N36" s="66"/>
    </row>
    <row r="37" spans="1:14" ht="16.2" thickBot="1">
      <c r="A37" s="77">
        <v>12</v>
      </c>
      <c r="B37" s="78">
        <v>110</v>
      </c>
      <c r="C37" s="165">
        <v>0.04</v>
      </c>
      <c r="D37" s="66"/>
      <c r="E37" s="66"/>
      <c r="F37" s="66"/>
      <c r="G37" s="66"/>
      <c r="H37" s="66"/>
      <c r="I37" s="66"/>
      <c r="J37" s="66"/>
      <c r="K37" s="66"/>
      <c r="L37" s="66"/>
      <c r="M37" s="66"/>
      <c r="N37" s="66"/>
    </row>
    <row r="38" spans="1:14" ht="16.2" thickBot="1">
      <c r="A38" s="77">
        <v>13</v>
      </c>
      <c r="B38" s="78">
        <v>100</v>
      </c>
      <c r="C38" s="165">
        <v>0.04</v>
      </c>
      <c r="D38" s="66"/>
      <c r="E38" s="66"/>
      <c r="F38" s="66"/>
      <c r="G38" s="66"/>
      <c r="H38" s="66"/>
      <c r="I38" s="66"/>
      <c r="J38" s="66"/>
      <c r="K38" s="66"/>
      <c r="L38" s="66"/>
      <c r="M38" s="66"/>
      <c r="N38" s="66"/>
    </row>
    <row r="39" spans="1:14" ht="16.2" thickBot="1">
      <c r="A39" s="77">
        <v>14</v>
      </c>
      <c r="B39" s="78">
        <v>80</v>
      </c>
      <c r="C39" s="165">
        <v>0.04</v>
      </c>
      <c r="D39" s="66"/>
      <c r="E39" s="66"/>
      <c r="F39" s="66"/>
      <c r="G39" s="66"/>
      <c r="H39" s="66"/>
      <c r="I39" s="66"/>
      <c r="J39" s="66"/>
      <c r="K39" s="66"/>
      <c r="L39" s="66"/>
      <c r="M39" s="66"/>
      <c r="N39" s="66"/>
    </row>
    <row r="40" spans="1:14" ht="16.2" thickBot="1">
      <c r="A40" s="77">
        <v>15</v>
      </c>
      <c r="B40" s="78">
        <v>60</v>
      </c>
      <c r="C40" s="165">
        <v>0.04</v>
      </c>
      <c r="D40" s="66"/>
      <c r="E40" s="66"/>
      <c r="F40" s="66"/>
      <c r="G40" s="66"/>
      <c r="H40" s="66"/>
      <c r="I40" s="66"/>
      <c r="J40" s="66"/>
      <c r="K40" s="66"/>
      <c r="L40" s="66"/>
      <c r="M40" s="66"/>
      <c r="N40" s="66"/>
    </row>
    <row r="41" spans="1:14" ht="16.2" thickBot="1">
      <c r="A41" s="77">
        <v>16</v>
      </c>
      <c r="B41" s="78">
        <v>30</v>
      </c>
      <c r="C41" s="165">
        <v>0.04</v>
      </c>
      <c r="D41" s="66"/>
      <c r="E41" s="66"/>
      <c r="F41" s="66"/>
      <c r="G41" s="66"/>
      <c r="H41" s="66"/>
      <c r="I41" s="66"/>
      <c r="J41" s="66"/>
      <c r="K41" s="66"/>
      <c r="L41" s="66"/>
      <c r="M41" s="66"/>
      <c r="N41" s="66"/>
    </row>
    <row r="42" spans="1:14" ht="16.2" thickBot="1">
      <c r="A42" s="77">
        <v>17</v>
      </c>
      <c r="B42" s="78">
        <v>0</v>
      </c>
      <c r="C42" s="165">
        <v>0.04</v>
      </c>
      <c r="D42" s="66"/>
      <c r="E42" s="66"/>
      <c r="F42" s="66"/>
      <c r="G42" s="66"/>
      <c r="H42" s="66"/>
      <c r="I42" s="66"/>
      <c r="J42" s="66"/>
      <c r="K42" s="66"/>
      <c r="L42" s="66"/>
      <c r="M42" s="66"/>
      <c r="N42" s="66"/>
    </row>
    <row r="43" spans="1:14" ht="16.2" thickBot="1">
      <c r="A43" s="77">
        <v>18</v>
      </c>
      <c r="B43" s="78">
        <v>-20</v>
      </c>
      <c r="C43" s="165">
        <v>0.03</v>
      </c>
      <c r="D43" s="66"/>
      <c r="E43" s="66"/>
      <c r="F43" s="66"/>
      <c r="G43" s="66"/>
      <c r="H43" s="66"/>
      <c r="I43" s="66"/>
      <c r="J43" s="66"/>
      <c r="K43" s="66"/>
      <c r="L43" s="66"/>
      <c r="M43" s="66"/>
      <c r="N43" s="66"/>
    </row>
    <row r="44" spans="1:14" ht="16.2" thickBot="1">
      <c r="A44" s="77">
        <v>19</v>
      </c>
      <c r="B44" s="78">
        <v>-50</v>
      </c>
      <c r="C44" s="165">
        <v>0.02</v>
      </c>
      <c r="D44" s="66"/>
      <c r="E44" s="66"/>
      <c r="F44" s="66"/>
      <c r="G44" s="66"/>
      <c r="H44" s="66"/>
      <c r="I44" s="66"/>
      <c r="J44" s="66"/>
      <c r="K44" s="66"/>
      <c r="L44" s="66"/>
      <c r="M44" s="66"/>
      <c r="N44" s="66"/>
    </row>
    <row r="45" spans="1:14" ht="16.2" thickBot="1">
      <c r="A45" s="77">
        <v>20</v>
      </c>
      <c r="B45" s="78">
        <v>-80</v>
      </c>
      <c r="C45" s="165">
        <v>0.01</v>
      </c>
      <c r="D45" s="66"/>
      <c r="E45" s="66"/>
      <c r="F45" s="66"/>
      <c r="G45" s="66"/>
      <c r="H45" s="66"/>
      <c r="I45" s="66"/>
      <c r="J45" s="66"/>
      <c r="K45" s="66"/>
      <c r="L45" s="66"/>
      <c r="M45" s="66"/>
      <c r="N45" s="66"/>
    </row>
    <row r="46" spans="1:14" ht="15.6">
      <c r="A46" s="157"/>
      <c r="B46" s="66"/>
      <c r="C46" s="66"/>
      <c r="D46" s="66"/>
      <c r="E46" s="66"/>
      <c r="F46" s="66"/>
      <c r="G46" s="66"/>
      <c r="H46" s="66"/>
      <c r="I46" s="66"/>
      <c r="J46" s="66"/>
      <c r="K46" s="66"/>
      <c r="L46" s="66"/>
      <c r="M46" s="66"/>
      <c r="N46" s="66"/>
    </row>
    <row r="47" spans="1:14" ht="15.6">
      <c r="A47" s="70" t="s">
        <v>355</v>
      </c>
      <c r="B47" s="66"/>
      <c r="C47" s="66"/>
      <c r="D47" s="66"/>
      <c r="E47" s="66"/>
      <c r="F47" s="66"/>
      <c r="G47" s="66"/>
      <c r="H47" s="66"/>
      <c r="I47" s="66"/>
      <c r="J47" s="66"/>
      <c r="K47" s="66"/>
      <c r="L47" s="66"/>
      <c r="M47" s="66"/>
      <c r="N47" s="66"/>
    </row>
    <row r="48" spans="1:14" ht="15.6">
      <c r="A48" s="104" t="s">
        <v>24</v>
      </c>
    </row>
  </sheetData>
  <pageMargins left="0.7" right="0.7" top="0.75" bottom="0.75" header="0.3" footer="0.3"/>
  <pageSetup orientation="portrait" verticalDpi="90"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32B92-6E86-489B-8E7C-0634D2664FC2}">
  <sheetPr codeName="Sheet38"/>
  <dimension ref="A1:N35"/>
  <sheetViews>
    <sheetView topLeftCell="A13" workbookViewId="0"/>
  </sheetViews>
  <sheetFormatPr defaultColWidth="9.21875" defaultRowHeight="14.4"/>
  <cols>
    <col min="1" max="1" width="19.5546875" style="67" customWidth="1"/>
    <col min="2" max="4" width="14.44140625" style="67" customWidth="1"/>
    <col min="5" max="16384" width="9.21875" style="67"/>
  </cols>
  <sheetData>
    <row r="1" spans="1:14" ht="17.399999999999999">
      <c r="A1" s="65" t="s">
        <v>335</v>
      </c>
      <c r="B1" s="66"/>
      <c r="C1" s="66"/>
      <c r="D1" s="66"/>
      <c r="E1" s="66"/>
      <c r="F1" s="66"/>
      <c r="G1" s="66"/>
      <c r="H1" s="66"/>
      <c r="I1" s="66"/>
      <c r="J1" s="66"/>
      <c r="K1" s="66"/>
      <c r="L1" s="66"/>
      <c r="M1" s="66"/>
      <c r="N1" s="66"/>
    </row>
    <row r="2" spans="1:14" ht="15.6">
      <c r="A2" s="68" t="s">
        <v>336</v>
      </c>
      <c r="B2" s="66"/>
      <c r="C2" s="66"/>
      <c r="D2" s="66"/>
      <c r="E2" s="66"/>
      <c r="F2" s="66"/>
      <c r="G2" s="66"/>
      <c r="H2" s="66"/>
      <c r="I2" s="66"/>
      <c r="J2" s="66"/>
      <c r="K2" s="66"/>
      <c r="L2" s="66"/>
      <c r="M2" s="66"/>
      <c r="N2" s="66"/>
    </row>
    <row r="3" spans="1:14" ht="15.6">
      <c r="A3" s="68" t="s">
        <v>337</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338</v>
      </c>
      <c r="B5" s="66"/>
      <c r="C5" s="66"/>
      <c r="D5" s="66"/>
      <c r="E5" s="66"/>
      <c r="F5" s="66"/>
      <c r="G5" s="66"/>
      <c r="H5" s="66"/>
      <c r="I5" s="66"/>
      <c r="J5" s="66"/>
      <c r="K5" s="66"/>
      <c r="L5" s="66"/>
      <c r="M5" s="66"/>
      <c r="N5" s="66"/>
    </row>
    <row r="6" spans="1:14" ht="15.6">
      <c r="A6" s="70"/>
      <c r="B6" s="66"/>
      <c r="C6" s="66"/>
      <c r="D6" s="66"/>
      <c r="E6" s="66"/>
      <c r="F6" s="66"/>
      <c r="G6" s="66"/>
      <c r="H6" s="66"/>
      <c r="I6" s="66"/>
      <c r="J6" s="66"/>
      <c r="K6" s="66"/>
      <c r="L6" s="66"/>
      <c r="M6" s="66"/>
      <c r="N6" s="66"/>
    </row>
    <row r="7" spans="1:14" ht="15.6">
      <c r="A7" s="70" t="s">
        <v>339</v>
      </c>
      <c r="B7" s="66"/>
      <c r="C7" s="66"/>
      <c r="D7" s="66"/>
      <c r="E7" s="66"/>
      <c r="F7" s="66"/>
      <c r="G7" s="66"/>
      <c r="H7" s="66"/>
      <c r="I7" s="66"/>
      <c r="J7" s="66"/>
      <c r="K7" s="66"/>
      <c r="L7" s="66"/>
      <c r="M7" s="66"/>
      <c r="N7" s="66"/>
    </row>
    <row r="8" spans="1:14" ht="15.6">
      <c r="A8" s="70"/>
      <c r="B8" s="66"/>
      <c r="C8" s="66"/>
      <c r="D8" s="66"/>
      <c r="E8" s="66"/>
      <c r="F8" s="66"/>
      <c r="G8" s="66"/>
      <c r="H8" s="66"/>
      <c r="I8" s="66"/>
      <c r="J8" s="66"/>
      <c r="K8" s="66"/>
      <c r="L8" s="66"/>
      <c r="M8" s="66"/>
      <c r="N8" s="66"/>
    </row>
    <row r="9" spans="1:14" ht="15.6">
      <c r="A9" s="162" t="s">
        <v>340</v>
      </c>
      <c r="B9" s="66"/>
      <c r="C9" s="66"/>
      <c r="D9" s="66"/>
      <c r="E9" s="66"/>
      <c r="F9" s="66"/>
      <c r="G9" s="66"/>
      <c r="H9" s="66"/>
      <c r="I9" s="66"/>
      <c r="J9" s="66"/>
      <c r="K9" s="66"/>
      <c r="L9" s="66"/>
      <c r="M9" s="66"/>
      <c r="N9" s="66"/>
    </row>
    <row r="10" spans="1:14" ht="15.6">
      <c r="A10" s="163"/>
      <c r="B10" s="66"/>
      <c r="C10" s="66"/>
      <c r="D10" s="66"/>
      <c r="E10" s="66"/>
      <c r="F10" s="66"/>
      <c r="G10" s="66"/>
      <c r="H10" s="66"/>
      <c r="I10" s="66"/>
      <c r="J10" s="66"/>
      <c r="K10" s="66"/>
      <c r="L10" s="66"/>
      <c r="M10" s="66"/>
      <c r="N10" s="66"/>
    </row>
    <row r="11" spans="1:14" ht="15.6">
      <c r="A11" s="162" t="s">
        <v>341</v>
      </c>
      <c r="B11" s="66"/>
      <c r="C11" s="66"/>
      <c r="D11" s="66"/>
      <c r="E11" s="66"/>
      <c r="F11" s="66"/>
      <c r="G11" s="66"/>
      <c r="H11" s="66"/>
      <c r="I11" s="66"/>
      <c r="J11" s="66"/>
      <c r="K11" s="66"/>
      <c r="L11" s="66"/>
      <c r="M11" s="66"/>
      <c r="N11" s="66"/>
    </row>
    <row r="12" spans="1:14" ht="15.6">
      <c r="A12" s="163"/>
      <c r="B12" s="66"/>
      <c r="C12" s="66"/>
      <c r="D12" s="66"/>
      <c r="E12" s="66"/>
      <c r="F12" s="66"/>
      <c r="G12" s="66"/>
      <c r="H12" s="66"/>
      <c r="I12" s="66"/>
      <c r="J12" s="66"/>
      <c r="K12" s="66"/>
      <c r="L12" s="66"/>
      <c r="M12" s="66"/>
      <c r="N12" s="66"/>
    </row>
    <row r="13" spans="1:14" ht="15.6">
      <c r="A13" s="70" t="s">
        <v>342</v>
      </c>
      <c r="B13" s="66"/>
      <c r="C13" s="66"/>
      <c r="D13" s="66"/>
      <c r="E13" s="66"/>
      <c r="F13" s="66"/>
      <c r="G13" s="66"/>
      <c r="H13" s="66"/>
      <c r="I13" s="66"/>
      <c r="J13" s="66"/>
      <c r="K13" s="66"/>
      <c r="L13" s="66"/>
      <c r="M13" s="66"/>
      <c r="N13" s="66"/>
    </row>
    <row r="14" spans="1:14" ht="16.2" thickBot="1">
      <c r="A14" s="70"/>
      <c r="B14" s="66"/>
      <c r="C14" s="66"/>
      <c r="D14" s="66"/>
      <c r="E14" s="66"/>
      <c r="F14" s="66"/>
      <c r="G14" s="66"/>
      <c r="H14" s="66"/>
      <c r="I14" s="66"/>
      <c r="J14" s="66"/>
      <c r="K14" s="66"/>
      <c r="L14" s="66"/>
      <c r="M14" s="66"/>
      <c r="N14" s="66"/>
    </row>
    <row r="15" spans="1:14" ht="16.2" thickBot="1">
      <c r="A15" s="110" t="s">
        <v>343</v>
      </c>
      <c r="B15" s="135" t="s">
        <v>344</v>
      </c>
      <c r="C15" s="66"/>
      <c r="D15" s="66"/>
      <c r="E15" s="66"/>
      <c r="F15" s="66"/>
      <c r="G15" s="66"/>
      <c r="H15" s="66"/>
      <c r="I15" s="66"/>
      <c r="J15" s="66"/>
      <c r="K15" s="66"/>
      <c r="L15" s="66"/>
      <c r="M15" s="66"/>
      <c r="N15" s="66"/>
    </row>
    <row r="16" spans="1:14" ht="16.2" thickBot="1">
      <c r="A16" s="137" t="s">
        <v>345</v>
      </c>
      <c r="B16" s="113">
        <v>2.5</v>
      </c>
      <c r="C16" s="66"/>
      <c r="D16" s="66"/>
      <c r="E16" s="66"/>
      <c r="F16" s="66"/>
      <c r="G16" s="66"/>
      <c r="H16" s="66"/>
      <c r="I16" s="66"/>
      <c r="J16" s="66"/>
      <c r="K16" s="66"/>
      <c r="L16" s="66"/>
      <c r="M16" s="66"/>
      <c r="N16" s="66"/>
    </row>
    <row r="17" spans="1:14" ht="16.2" thickBot="1">
      <c r="A17" s="137" t="s">
        <v>346</v>
      </c>
      <c r="B17" s="113">
        <v>1.3</v>
      </c>
      <c r="C17" s="66"/>
      <c r="D17" s="66"/>
      <c r="E17" s="66"/>
      <c r="F17" s="66"/>
      <c r="G17" s="66"/>
      <c r="H17" s="66"/>
      <c r="I17" s="66"/>
      <c r="J17" s="66"/>
      <c r="K17" s="66"/>
      <c r="L17" s="66"/>
      <c r="M17" s="66"/>
      <c r="N17" s="66"/>
    </row>
    <row r="18" spans="1:14" ht="16.2" thickBot="1">
      <c r="A18" s="137" t="s">
        <v>347</v>
      </c>
      <c r="B18" s="113">
        <v>1</v>
      </c>
      <c r="C18" s="66"/>
      <c r="D18" s="66"/>
      <c r="E18" s="66"/>
      <c r="F18" s="66"/>
      <c r="G18" s="66"/>
      <c r="H18" s="66"/>
      <c r="I18" s="66"/>
      <c r="J18" s="66"/>
      <c r="K18" s="66"/>
      <c r="L18" s="66"/>
      <c r="M18" s="66"/>
      <c r="N18" s="66"/>
    </row>
    <row r="19" spans="1:14" ht="16.2" thickBot="1">
      <c r="A19" s="137" t="s">
        <v>348</v>
      </c>
      <c r="B19" s="113">
        <v>0.9</v>
      </c>
      <c r="C19" s="66"/>
      <c r="D19" s="66"/>
      <c r="E19" s="66"/>
      <c r="F19" s="66"/>
      <c r="G19" s="66"/>
      <c r="H19" s="66"/>
      <c r="I19" s="66"/>
      <c r="J19" s="66"/>
      <c r="K19" s="66"/>
      <c r="L19" s="66"/>
      <c r="M19" s="66"/>
      <c r="N19" s="66"/>
    </row>
    <row r="20" spans="1:14" ht="15.6">
      <c r="A20" s="70"/>
      <c r="B20" s="66"/>
      <c r="C20" s="66"/>
      <c r="D20" s="66"/>
      <c r="E20" s="66"/>
      <c r="F20" s="66"/>
      <c r="G20" s="66"/>
      <c r="H20" s="66"/>
      <c r="I20" s="66"/>
      <c r="J20" s="66"/>
      <c r="K20" s="66"/>
      <c r="L20" s="66"/>
      <c r="M20" s="66"/>
      <c r="N20" s="66"/>
    </row>
    <row r="21" spans="1:14" ht="15.6">
      <c r="A21" s="70"/>
      <c r="B21" s="66"/>
      <c r="C21" s="66"/>
      <c r="D21" s="66"/>
      <c r="E21" s="66"/>
      <c r="F21" s="66"/>
      <c r="G21" s="66"/>
      <c r="H21" s="66"/>
      <c r="I21" s="66"/>
      <c r="J21" s="66"/>
      <c r="K21" s="66"/>
      <c r="L21" s="66"/>
      <c r="M21" s="66"/>
      <c r="N21" s="66"/>
    </row>
    <row r="22" spans="1:14" ht="15.6">
      <c r="A22" s="157" t="s">
        <v>356</v>
      </c>
      <c r="B22" s="66"/>
      <c r="C22" s="66"/>
      <c r="D22" s="66"/>
      <c r="E22" s="66"/>
      <c r="F22" s="66"/>
      <c r="G22" s="66"/>
      <c r="H22" s="66"/>
      <c r="I22" s="66"/>
      <c r="J22" s="66"/>
      <c r="K22" s="66"/>
      <c r="L22" s="66"/>
      <c r="M22" s="66"/>
      <c r="N22" s="66"/>
    </row>
    <row r="23" spans="1:14" ht="15.6">
      <c r="A23" s="157"/>
      <c r="B23" s="66"/>
      <c r="C23" s="66"/>
      <c r="D23" s="66"/>
      <c r="E23" s="66"/>
      <c r="F23" s="66"/>
      <c r="G23" s="66"/>
      <c r="H23" s="66"/>
      <c r="I23" s="66"/>
      <c r="J23" s="66"/>
      <c r="K23" s="66"/>
      <c r="L23" s="66"/>
      <c r="M23" s="66"/>
      <c r="N23" s="66"/>
    </row>
    <row r="24" spans="1:14" ht="15.6">
      <c r="A24" s="162" t="s">
        <v>357</v>
      </c>
      <c r="B24" s="66"/>
      <c r="C24" s="66"/>
      <c r="D24" s="66"/>
      <c r="E24" s="66"/>
      <c r="F24" s="66"/>
      <c r="G24" s="66"/>
      <c r="H24" s="66"/>
      <c r="I24" s="66"/>
      <c r="J24" s="66"/>
      <c r="K24" s="66"/>
      <c r="L24" s="66"/>
      <c r="M24" s="66"/>
      <c r="N24" s="66"/>
    </row>
    <row r="25" spans="1:14" ht="15.6">
      <c r="A25" s="162" t="s">
        <v>358</v>
      </c>
      <c r="B25" s="66"/>
      <c r="C25" s="66"/>
      <c r="D25" s="66"/>
      <c r="E25" s="66"/>
      <c r="F25" s="66"/>
      <c r="G25" s="66"/>
      <c r="H25" s="66"/>
      <c r="I25" s="66"/>
      <c r="J25" s="66"/>
      <c r="K25" s="66"/>
      <c r="L25" s="66"/>
      <c r="M25" s="66"/>
      <c r="N25" s="66"/>
    </row>
    <row r="26" spans="1:14" ht="15.6">
      <c r="A26" s="162" t="s">
        <v>359</v>
      </c>
      <c r="B26" s="66"/>
      <c r="C26" s="66"/>
      <c r="D26" s="66"/>
      <c r="E26" s="66"/>
      <c r="F26" s="66"/>
      <c r="G26" s="66"/>
      <c r="H26" s="66"/>
      <c r="I26" s="66"/>
      <c r="J26" s="66"/>
      <c r="K26" s="66"/>
      <c r="L26" s="66"/>
      <c r="M26" s="66"/>
      <c r="N26" s="66"/>
    </row>
    <row r="27" spans="1:14" ht="15.6">
      <c r="A27" s="162" t="s">
        <v>360</v>
      </c>
      <c r="B27" s="66"/>
      <c r="C27" s="66"/>
      <c r="D27" s="66"/>
      <c r="E27" s="66"/>
      <c r="F27" s="66"/>
      <c r="G27" s="66"/>
      <c r="H27" s="66"/>
      <c r="I27" s="66"/>
      <c r="J27" s="66"/>
      <c r="K27" s="66"/>
      <c r="L27" s="66"/>
      <c r="M27" s="66"/>
      <c r="N27" s="66"/>
    </row>
    <row r="28" spans="1:14" ht="15.6">
      <c r="A28" s="166"/>
      <c r="B28" s="66"/>
      <c r="C28" s="66"/>
      <c r="D28" s="66"/>
      <c r="E28" s="66"/>
      <c r="F28" s="66"/>
      <c r="G28" s="66"/>
      <c r="H28" s="66"/>
      <c r="I28" s="66"/>
      <c r="J28" s="66"/>
      <c r="K28" s="66"/>
      <c r="L28" s="66"/>
      <c r="M28" s="66"/>
      <c r="N28" s="66"/>
    </row>
    <row r="29" spans="1:14" ht="15.6">
      <c r="A29" s="157" t="s">
        <v>198</v>
      </c>
      <c r="B29" s="66"/>
      <c r="C29" s="66"/>
      <c r="D29" s="66"/>
      <c r="E29" s="66"/>
      <c r="F29" s="66"/>
      <c r="G29" s="66"/>
      <c r="H29" s="66"/>
      <c r="I29" s="66"/>
      <c r="J29" s="66"/>
      <c r="K29" s="66"/>
      <c r="L29" s="66"/>
      <c r="M29" s="66"/>
      <c r="N29" s="66"/>
    </row>
    <row r="30" spans="1:14" ht="15.6">
      <c r="A30" s="157"/>
      <c r="B30" s="66"/>
      <c r="C30" s="66"/>
      <c r="D30" s="66"/>
      <c r="E30" s="66"/>
      <c r="F30" s="66"/>
      <c r="G30" s="66"/>
      <c r="H30" s="66"/>
      <c r="I30" s="66"/>
      <c r="J30" s="66"/>
      <c r="K30" s="66"/>
      <c r="L30" s="66"/>
      <c r="M30" s="66"/>
      <c r="N30" s="66"/>
    </row>
    <row r="31" spans="1:14" ht="15.6">
      <c r="A31" s="162" t="s">
        <v>361</v>
      </c>
      <c r="B31" s="66"/>
      <c r="C31" s="66"/>
      <c r="D31" s="66"/>
      <c r="E31" s="66"/>
      <c r="F31" s="66"/>
      <c r="G31" s="66"/>
      <c r="H31" s="66"/>
      <c r="I31" s="66"/>
      <c r="J31" s="66"/>
      <c r="K31" s="66"/>
      <c r="L31" s="66"/>
      <c r="M31" s="66"/>
      <c r="N31" s="66"/>
    </row>
    <row r="32" spans="1:14" ht="15.6">
      <c r="A32" s="162" t="s">
        <v>362</v>
      </c>
      <c r="B32" s="66"/>
      <c r="C32" s="66"/>
      <c r="D32" s="66"/>
      <c r="E32" s="66"/>
      <c r="F32" s="66"/>
      <c r="G32" s="66"/>
      <c r="H32" s="66"/>
      <c r="I32" s="66"/>
      <c r="J32" s="66"/>
      <c r="K32" s="66"/>
      <c r="L32" s="66"/>
      <c r="M32" s="66"/>
      <c r="N32" s="66"/>
    </row>
    <row r="33" spans="1:14" ht="15.6">
      <c r="A33" s="157"/>
      <c r="B33" s="66"/>
      <c r="C33" s="66"/>
      <c r="D33" s="66"/>
      <c r="E33" s="66"/>
      <c r="F33" s="66"/>
      <c r="G33" s="66"/>
      <c r="H33" s="66"/>
      <c r="I33" s="66"/>
      <c r="J33" s="66"/>
      <c r="K33" s="66"/>
      <c r="L33" s="66"/>
      <c r="M33" s="66"/>
      <c r="N33" s="66"/>
    </row>
    <row r="34" spans="1:14" ht="15.6">
      <c r="A34" s="157" t="s">
        <v>363</v>
      </c>
      <c r="B34" s="66"/>
      <c r="C34" s="66"/>
      <c r="D34" s="66"/>
      <c r="E34" s="66"/>
      <c r="F34" s="66"/>
      <c r="G34" s="66"/>
      <c r="H34" s="66"/>
      <c r="I34" s="66"/>
      <c r="J34" s="66"/>
      <c r="K34" s="66"/>
      <c r="L34" s="66"/>
      <c r="M34" s="66"/>
      <c r="N34" s="66"/>
    </row>
    <row r="35" spans="1:14" ht="15.6">
      <c r="A35" s="104" t="s">
        <v>24</v>
      </c>
    </row>
  </sheetData>
  <pageMargins left="0.7" right="0.7" top="0.75" bottom="0.75" header="0.3" footer="0.3"/>
  <pageSetup orientation="portrait"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ADDE9-A160-4FAE-BDCC-C040FBB094B4}">
  <dimension ref="A1:E62"/>
  <sheetViews>
    <sheetView workbookViewId="0">
      <selection activeCell="A5" sqref="A5"/>
    </sheetView>
  </sheetViews>
  <sheetFormatPr defaultColWidth="9.21875" defaultRowHeight="14.4"/>
  <cols>
    <col min="1" max="1" width="36.21875" style="448" customWidth="1"/>
    <col min="2" max="2" width="24.77734375" style="448" bestFit="1" customWidth="1"/>
    <col min="3" max="3" width="41.44140625" style="448" bestFit="1" customWidth="1"/>
    <col min="4" max="4" width="11.5546875" style="448" bestFit="1" customWidth="1"/>
    <col min="5" max="16384" width="9.21875" style="448"/>
  </cols>
  <sheetData>
    <row r="1" spans="1:2" s="493" customFormat="1" ht="17.399999999999999">
      <c r="A1" s="523" t="s">
        <v>1675</v>
      </c>
    </row>
    <row r="2" spans="1:2" s="493" customFormat="1"/>
    <row r="3" spans="1:2" s="493" customFormat="1" ht="15.6">
      <c r="A3" s="494" t="s">
        <v>1811</v>
      </c>
    </row>
    <row r="4" spans="1:2" s="493" customFormat="1" ht="16.2" thickBot="1">
      <c r="A4" s="494"/>
    </row>
    <row r="5" spans="1:2" s="493" customFormat="1" ht="16.2" thickBot="1">
      <c r="A5" s="987" t="s">
        <v>161</v>
      </c>
      <c r="B5" s="988" t="s">
        <v>1680</v>
      </c>
    </row>
    <row r="6" spans="1:2" s="493" customFormat="1" ht="16.2" thickBot="1">
      <c r="A6" s="533" t="s">
        <v>1681</v>
      </c>
      <c r="B6" s="1001">
        <v>280</v>
      </c>
    </row>
    <row r="7" spans="1:2" s="493" customFormat="1" ht="16.2" thickBot="1">
      <c r="A7" s="533" t="s">
        <v>1682</v>
      </c>
      <c r="B7" s="1001">
        <v>280</v>
      </c>
    </row>
    <row r="8" spans="1:2" s="493" customFormat="1" ht="16.2" thickBot="1">
      <c r="A8" s="533" t="s">
        <v>1683</v>
      </c>
      <c r="B8" s="1001">
        <v>470</v>
      </c>
    </row>
    <row r="9" spans="1:2" s="493" customFormat="1" ht="16.2" thickBot="1">
      <c r="A9" s="533" t="s">
        <v>1684</v>
      </c>
      <c r="B9" s="1001">
        <v>470</v>
      </c>
    </row>
    <row r="10" spans="1:2" s="493" customFormat="1" ht="16.2" thickBot="1">
      <c r="A10" s="533" t="s">
        <v>1685</v>
      </c>
      <c r="B10" s="1001">
        <v>315</v>
      </c>
    </row>
    <row r="11" spans="1:2" s="493" customFormat="1" ht="16.2" thickBot="1">
      <c r="A11" s="533" t="s">
        <v>1686</v>
      </c>
      <c r="B11" s="1001">
        <v>315</v>
      </c>
    </row>
    <row r="12" spans="1:2" s="493" customFormat="1" ht="16.2" thickBot="1">
      <c r="A12" s="533" t="s">
        <v>1687</v>
      </c>
      <c r="B12" s="1001">
        <v>330</v>
      </c>
    </row>
    <row r="13" spans="1:2" s="493" customFormat="1" ht="16.2" thickBot="1">
      <c r="A13" s="533" t="s">
        <v>1688</v>
      </c>
      <c r="B13" s="1001">
        <v>330</v>
      </c>
    </row>
    <row r="14" spans="1:2" s="493" customFormat="1" ht="16.2" thickBot="1">
      <c r="A14" s="533" t="s">
        <v>1689</v>
      </c>
      <c r="B14" s="1001">
        <v>325</v>
      </c>
    </row>
    <row r="15" spans="1:2" s="493" customFormat="1" ht="16.2" thickBot="1">
      <c r="A15" s="533" t="s">
        <v>1690</v>
      </c>
      <c r="B15" s="1001">
        <v>320</v>
      </c>
    </row>
    <row r="16" spans="1:2" s="493" customFormat="1" ht="16.05" customHeight="1" thickBot="1">
      <c r="A16" s="533" t="s">
        <v>1691</v>
      </c>
      <c r="B16" s="1001">
        <v>322</v>
      </c>
    </row>
    <row r="17" spans="1:5" s="493" customFormat="1" ht="16.05" customHeight="1" thickBot="1">
      <c r="A17" s="533" t="s">
        <v>1692</v>
      </c>
      <c r="B17" s="1001">
        <v>344</v>
      </c>
    </row>
    <row r="18" spans="1:5" s="493" customFormat="1" ht="16.05" customHeight="1" thickBot="1">
      <c r="A18" s="533" t="s">
        <v>1693</v>
      </c>
      <c r="B18" s="1001">
        <v>280</v>
      </c>
    </row>
    <row r="19" spans="1:5" s="493" customFormat="1" ht="16.05" customHeight="1" thickBot="1">
      <c r="A19" s="533" t="s">
        <v>1694</v>
      </c>
      <c r="B19" s="1001">
        <v>280</v>
      </c>
    </row>
    <row r="20" spans="1:5" s="493" customFormat="1" ht="16.05" customHeight="1" thickBot="1">
      <c r="A20" s="533" t="s">
        <v>1695</v>
      </c>
      <c r="B20" s="1001">
        <v>355</v>
      </c>
    </row>
    <row r="21" spans="1:5" s="493" customFormat="1" ht="16.05" customHeight="1" thickBot="1">
      <c r="A21" s="533" t="s">
        <v>1696</v>
      </c>
      <c r="B21" s="1001">
        <v>355</v>
      </c>
    </row>
    <row r="22" spans="1:5" s="493" customFormat="1" ht="15.6">
      <c r="A22" s="494"/>
    </row>
    <row r="23" spans="1:5" s="493" customFormat="1" ht="15.6">
      <c r="A23" s="494" t="s">
        <v>1697</v>
      </c>
    </row>
    <row r="24" spans="1:5" ht="15.6">
      <c r="A24" s="989" t="s">
        <v>931</v>
      </c>
    </row>
    <row r="25" spans="1:5" ht="15.6">
      <c r="B25" s="1054" t="s">
        <v>1810</v>
      </c>
      <c r="C25" s="1054"/>
      <c r="D25" s="1054"/>
      <c r="E25" s="1022"/>
    </row>
    <row r="26" spans="1:5" ht="15.6">
      <c r="B26" s="1025" t="s">
        <v>1809</v>
      </c>
      <c r="C26" s="1020" t="s">
        <v>1808</v>
      </c>
      <c r="D26" s="1027">
        <f>B14</f>
        <v>325</v>
      </c>
      <c r="E26" s="1018" t="s">
        <v>1584</v>
      </c>
    </row>
    <row r="27" spans="1:5" ht="15.6">
      <c r="B27" s="1025" t="s">
        <v>1807</v>
      </c>
      <c r="C27" s="1020" t="s">
        <v>1806</v>
      </c>
      <c r="D27" s="1027">
        <f>B8</f>
        <v>470</v>
      </c>
      <c r="E27" s="1018" t="s">
        <v>1805</v>
      </c>
    </row>
    <row r="28" spans="1:5" ht="15.6">
      <c r="B28" s="1025" t="s">
        <v>1804</v>
      </c>
      <c r="C28" s="1020" t="s">
        <v>1803</v>
      </c>
      <c r="D28" s="1027">
        <f>D27-D26</f>
        <v>145</v>
      </c>
      <c r="E28" s="1022" t="s">
        <v>1802</v>
      </c>
    </row>
    <row r="29" spans="1:5" ht="15.6">
      <c r="B29" s="1025" t="s">
        <v>1801</v>
      </c>
      <c r="C29" s="1020" t="s">
        <v>1800</v>
      </c>
      <c r="D29" s="1026">
        <v>2500</v>
      </c>
      <c r="E29" s="1018" t="s">
        <v>1584</v>
      </c>
    </row>
    <row r="30" spans="1:5" ht="15.6">
      <c r="B30" s="1025" t="s">
        <v>1799</v>
      </c>
      <c r="C30" s="1024" t="s">
        <v>1798</v>
      </c>
      <c r="D30" s="1023">
        <f>D28/D29</f>
        <v>5.8000000000000003E-2</v>
      </c>
      <c r="E30" s="1022"/>
    </row>
    <row r="31" spans="1:5" ht="15.6">
      <c r="B31" s="1021"/>
      <c r="C31" s="1020" t="s">
        <v>1797</v>
      </c>
      <c r="D31" s="1019" t="str">
        <f>IF(D30&lt;6%,"PASS","FAIL")</f>
        <v>PASS</v>
      </c>
      <c r="E31" s="1018" t="s">
        <v>1796</v>
      </c>
    </row>
    <row r="34" spans="1:2" s="493" customFormat="1" ht="15.6">
      <c r="A34" s="494" t="s">
        <v>1795</v>
      </c>
    </row>
    <row r="35" spans="1:2" s="493" customFormat="1" ht="15.6">
      <c r="A35" s="494"/>
    </row>
    <row r="36" spans="1:2" s="493" customFormat="1" ht="15.6">
      <c r="A36" s="494" t="s">
        <v>1700</v>
      </c>
    </row>
    <row r="37" spans="1:2" s="493" customFormat="1" ht="16.2" thickBot="1">
      <c r="A37" s="494"/>
    </row>
    <row r="38" spans="1:2" s="493" customFormat="1" ht="16.2" thickBot="1">
      <c r="A38" s="535" t="s">
        <v>1701</v>
      </c>
      <c r="B38" s="1002">
        <v>150000</v>
      </c>
    </row>
    <row r="39" spans="1:2" s="493" customFormat="1" ht="16.2" thickBot="1">
      <c r="A39" s="533" t="s">
        <v>1702</v>
      </c>
      <c r="B39" s="537">
        <v>0.09</v>
      </c>
    </row>
    <row r="40" spans="1:2" s="493" customFormat="1" ht="16.2" thickBot="1">
      <c r="A40" s="533" t="s">
        <v>1703</v>
      </c>
      <c r="B40" s="532">
        <v>3.5000000000000003E-2</v>
      </c>
    </row>
    <row r="41" spans="1:2" s="493" customFormat="1" ht="16.2" thickBot="1">
      <c r="A41" s="533" t="s">
        <v>1704</v>
      </c>
      <c r="B41" s="537">
        <v>0.8</v>
      </c>
    </row>
    <row r="42" spans="1:2" s="493" customFormat="1" ht="16.2" thickBot="1">
      <c r="A42" s="533" t="s">
        <v>1705</v>
      </c>
      <c r="B42" s="554" t="s">
        <v>1706</v>
      </c>
    </row>
    <row r="43" spans="1:2" s="493" customFormat="1" ht="15.6">
      <c r="A43" s="494"/>
    </row>
    <row r="44" spans="1:2" s="493" customFormat="1" ht="16.2" thickBot="1">
      <c r="A44" s="494" t="s">
        <v>1707</v>
      </c>
    </row>
    <row r="45" spans="1:2" s="493" customFormat="1" ht="16.2" thickBot="1">
      <c r="A45" s="535" t="s">
        <v>1708</v>
      </c>
      <c r="B45" s="556" t="s">
        <v>1709</v>
      </c>
    </row>
    <row r="46" spans="1:2" s="493" customFormat="1" ht="16.2" thickBot="1">
      <c r="A46" s="533" t="s">
        <v>1710</v>
      </c>
      <c r="B46" s="537">
        <v>0.13</v>
      </c>
    </row>
    <row r="47" spans="1:2" s="493" customFormat="1" ht="16.2" thickBot="1">
      <c r="A47" s="533" t="s">
        <v>1711</v>
      </c>
      <c r="B47" s="532">
        <v>2.5000000000000001E-2</v>
      </c>
    </row>
    <row r="48" spans="1:2" s="493" customFormat="1" ht="16.2" thickBot="1">
      <c r="A48" s="533" t="s">
        <v>1712</v>
      </c>
      <c r="B48" s="537">
        <v>0.05</v>
      </c>
    </row>
    <row r="49" spans="1:5" s="493" customFormat="1" ht="16.2" thickBot="1">
      <c r="A49" s="533" t="s">
        <v>1713</v>
      </c>
      <c r="B49" s="554">
        <v>50</v>
      </c>
    </row>
    <row r="50" spans="1:5" s="493" customFormat="1" ht="16.2" thickBot="1">
      <c r="A50" s="533" t="s">
        <v>1714</v>
      </c>
      <c r="B50" s="554">
        <v>50</v>
      </c>
    </row>
    <row r="51" spans="1:5" s="493" customFormat="1" ht="15.6">
      <c r="A51" s="494"/>
    </row>
    <row r="52" spans="1:5" s="493" customFormat="1" ht="15.6">
      <c r="A52" s="494" t="s">
        <v>1715</v>
      </c>
    </row>
    <row r="53" spans="1:5" s="493" customFormat="1" ht="15.6">
      <c r="A53" s="494"/>
    </row>
    <row r="54" spans="1:5" s="493" customFormat="1" ht="15.6">
      <c r="A54" s="494" t="s">
        <v>1716</v>
      </c>
    </row>
    <row r="55" spans="1:5" ht="15.6">
      <c r="A55" s="989" t="s">
        <v>24</v>
      </c>
    </row>
    <row r="56" spans="1:5">
      <c r="B56" s="448" t="s">
        <v>1794</v>
      </c>
    </row>
    <row r="57" spans="1:5">
      <c r="C57" s="1014" t="s">
        <v>1793</v>
      </c>
      <c r="D57" s="1017">
        <f>B40</f>
        <v>3.5000000000000003E-2</v>
      </c>
      <c r="E57" s="448" t="s">
        <v>1584</v>
      </c>
    </row>
    <row r="58" spans="1:5">
      <c r="C58" s="1014" t="s">
        <v>1792</v>
      </c>
      <c r="D58" s="1017">
        <v>0.04</v>
      </c>
      <c r="E58" s="448" t="s">
        <v>1584</v>
      </c>
    </row>
    <row r="59" spans="1:5">
      <c r="C59" s="1014" t="s">
        <v>1791</v>
      </c>
      <c r="D59" s="1016">
        <f>B49*B50</f>
        <v>2500</v>
      </c>
      <c r="E59" s="448" t="s">
        <v>1790</v>
      </c>
    </row>
    <row r="60" spans="1:5">
      <c r="C60" s="1014" t="s">
        <v>1789</v>
      </c>
      <c r="D60" s="1016">
        <f>B38*(1-B39)</f>
        <v>136500</v>
      </c>
      <c r="E60" s="448" t="s">
        <v>1788</v>
      </c>
    </row>
    <row r="61" spans="1:5">
      <c r="C61" s="1014" t="s">
        <v>1787</v>
      </c>
      <c r="D61" s="1015">
        <f>D59/D60</f>
        <v>1.8315018315018316E-2</v>
      </c>
      <c r="E61" s="448" t="s">
        <v>1786</v>
      </c>
    </row>
    <row r="62" spans="1:5">
      <c r="C62" s="1014" t="s">
        <v>1785</v>
      </c>
      <c r="D62" s="1013">
        <f>D57+D61*(1+D58)</f>
        <v>5.4047619047619053E-2</v>
      </c>
      <c r="E62" s="448" t="s">
        <v>1784</v>
      </c>
    </row>
  </sheetData>
  <mergeCells count="1">
    <mergeCell ref="B25:D25"/>
  </mergeCells>
  <pageMargins left="0.7" right="0.7" top="0.75" bottom="0.75" header="0.3" footer="0.3"/>
  <headerFooter>
    <oddFooter>&amp;C_x000D_&amp;1#&amp;"Calibri"&amp;10&amp;K000000 CONFIDENTIAL</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B9294-EABE-4A89-909F-D53FDDE8845D}">
  <sheetPr codeName="Sheet39">
    <tabColor rgb="FFFF0000"/>
  </sheetPr>
  <dimension ref="A1:N16"/>
  <sheetViews>
    <sheetView workbookViewId="0"/>
  </sheetViews>
  <sheetFormatPr defaultColWidth="9.21875" defaultRowHeight="14.4"/>
  <cols>
    <col min="1" max="1" width="46.5546875" style="274" customWidth="1"/>
    <col min="2" max="4" width="14.44140625" style="274" customWidth="1"/>
    <col min="5" max="16384" width="9.21875" style="274"/>
  </cols>
  <sheetData>
    <row r="1" spans="1:14" ht="17.399999999999999">
      <c r="A1" s="264" t="s">
        <v>364</v>
      </c>
      <c r="B1" s="265"/>
      <c r="C1" s="265"/>
      <c r="D1" s="265"/>
      <c r="E1" s="265"/>
      <c r="F1" s="265"/>
      <c r="G1" s="265"/>
      <c r="H1" s="265"/>
      <c r="I1" s="265"/>
      <c r="J1" s="265"/>
      <c r="K1" s="265"/>
      <c r="L1" s="265"/>
      <c r="M1" s="265"/>
      <c r="N1" s="265"/>
    </row>
    <row r="2" spans="1:14" ht="15.6">
      <c r="A2" s="266" t="s">
        <v>227</v>
      </c>
      <c r="B2" s="265"/>
      <c r="C2" s="265"/>
      <c r="D2" s="265"/>
      <c r="E2" s="265"/>
      <c r="F2" s="265"/>
      <c r="G2" s="265"/>
      <c r="H2" s="265"/>
      <c r="I2" s="265"/>
      <c r="J2" s="265"/>
      <c r="K2" s="265"/>
      <c r="L2" s="265"/>
      <c r="M2" s="265"/>
      <c r="N2" s="265"/>
    </row>
    <row r="3" spans="1:14">
      <c r="A3" s="265"/>
      <c r="B3" s="267"/>
      <c r="C3" s="267"/>
      <c r="D3" s="267"/>
      <c r="E3" s="267"/>
      <c r="F3" s="267"/>
      <c r="G3" s="267"/>
      <c r="H3" s="267"/>
      <c r="I3" s="267"/>
      <c r="J3" s="267"/>
      <c r="K3" s="265"/>
      <c r="L3" s="265"/>
      <c r="M3" s="265"/>
      <c r="N3" s="265"/>
    </row>
    <row r="4" spans="1:14">
      <c r="A4" s="265"/>
      <c r="B4" s="265"/>
      <c r="C4" s="265"/>
      <c r="D4" s="265"/>
      <c r="E4" s="265"/>
      <c r="F4" s="265"/>
      <c r="G4" s="265"/>
      <c r="H4" s="265"/>
      <c r="I4" s="265"/>
      <c r="J4" s="265"/>
      <c r="K4" s="265"/>
      <c r="L4" s="265"/>
      <c r="M4" s="265"/>
      <c r="N4" s="265"/>
    </row>
    <row r="5" spans="1:14" ht="15.6">
      <c r="A5" s="351" t="s">
        <v>787</v>
      </c>
      <c r="B5" s="265"/>
      <c r="C5" s="265"/>
      <c r="D5" s="265"/>
      <c r="E5" s="265"/>
      <c r="F5" s="265"/>
      <c r="G5" s="265"/>
      <c r="H5" s="265"/>
      <c r="I5" s="265"/>
      <c r="J5" s="265"/>
      <c r="K5" s="265"/>
      <c r="L5" s="265"/>
      <c r="M5" s="265"/>
      <c r="N5" s="265"/>
    </row>
    <row r="6" spans="1:14" ht="16.2" thickBot="1">
      <c r="A6" s="351"/>
      <c r="B6" s="265"/>
      <c r="C6" s="265"/>
      <c r="D6" s="265"/>
      <c r="E6" s="265"/>
      <c r="F6" s="265"/>
      <c r="G6" s="265"/>
      <c r="H6" s="265"/>
      <c r="I6" s="265"/>
      <c r="J6" s="265"/>
      <c r="K6" s="265"/>
      <c r="L6" s="265"/>
      <c r="M6" s="265"/>
      <c r="N6" s="265"/>
    </row>
    <row r="7" spans="1:14" ht="16.2" thickBot="1">
      <c r="A7" s="352"/>
      <c r="B7" s="353">
        <v>43830</v>
      </c>
      <c r="C7" s="353">
        <v>44196</v>
      </c>
      <c r="D7" s="265"/>
      <c r="E7" s="265"/>
      <c r="F7" s="265"/>
      <c r="G7" s="265"/>
      <c r="H7" s="265"/>
      <c r="I7" s="265"/>
      <c r="J7" s="265"/>
      <c r="K7" s="265"/>
      <c r="L7" s="265"/>
      <c r="M7" s="265"/>
      <c r="N7" s="265"/>
    </row>
    <row r="8" spans="1:14" ht="16.2" thickBot="1">
      <c r="A8" s="354" t="s">
        <v>365</v>
      </c>
      <c r="B8" s="355">
        <v>1180</v>
      </c>
      <c r="C8" s="355">
        <v>1375</v>
      </c>
      <c r="D8" s="265"/>
      <c r="E8" s="265"/>
      <c r="F8" s="265"/>
      <c r="G8" s="265"/>
      <c r="H8" s="265"/>
      <c r="I8" s="265"/>
      <c r="J8" s="265"/>
      <c r="K8" s="265"/>
      <c r="L8" s="265"/>
      <c r="M8" s="265"/>
      <c r="N8" s="265"/>
    </row>
    <row r="9" spans="1:14" ht="31.8" thickBot="1">
      <c r="A9" s="354" t="s">
        <v>366</v>
      </c>
      <c r="B9" s="355">
        <v>1200</v>
      </c>
      <c r="C9" s="355">
        <v>1385</v>
      </c>
      <c r="D9" s="265"/>
      <c r="E9" s="265"/>
      <c r="F9" s="265"/>
      <c r="G9" s="265"/>
      <c r="H9" s="265"/>
      <c r="I9" s="265"/>
      <c r="J9" s="265"/>
      <c r="K9" s="265"/>
      <c r="L9" s="265"/>
      <c r="M9" s="265"/>
      <c r="N9" s="265"/>
    </row>
    <row r="10" spans="1:14" ht="31.8" thickBot="1">
      <c r="A10" s="354" t="s">
        <v>367</v>
      </c>
      <c r="B10" s="355">
        <v>1380</v>
      </c>
      <c r="C10" s="355">
        <v>1540</v>
      </c>
      <c r="D10" s="265"/>
      <c r="E10" s="265"/>
      <c r="F10" s="265"/>
      <c r="G10" s="265"/>
      <c r="H10" s="265"/>
      <c r="I10" s="265"/>
      <c r="J10" s="265"/>
      <c r="K10" s="265"/>
      <c r="L10" s="265"/>
      <c r="M10" s="265"/>
      <c r="N10" s="265"/>
    </row>
    <row r="11" spans="1:14" ht="16.2" thickBot="1">
      <c r="A11" s="354" t="s">
        <v>368</v>
      </c>
      <c r="B11" s="355">
        <v>1370</v>
      </c>
      <c r="C11" s="355">
        <v>1510</v>
      </c>
      <c r="D11" s="265"/>
      <c r="E11" s="265"/>
      <c r="F11" s="265"/>
      <c r="G11" s="265"/>
      <c r="H11" s="265"/>
      <c r="I11" s="265"/>
      <c r="J11" s="265"/>
      <c r="K11" s="265"/>
      <c r="L11" s="265"/>
      <c r="M11" s="265"/>
      <c r="N11" s="265"/>
    </row>
    <row r="12" spans="1:14" ht="16.2" thickBot="1">
      <c r="A12" s="354" t="s">
        <v>369</v>
      </c>
      <c r="B12" s="356">
        <v>120</v>
      </c>
      <c r="C12" s="356">
        <v>105</v>
      </c>
      <c r="D12" s="265"/>
      <c r="E12" s="265"/>
      <c r="F12" s="265"/>
      <c r="G12" s="265"/>
      <c r="H12" s="265"/>
      <c r="I12" s="265"/>
      <c r="J12" s="265"/>
      <c r="K12" s="265"/>
      <c r="L12" s="265"/>
      <c r="M12" s="265"/>
      <c r="N12" s="265"/>
    </row>
    <row r="13" spans="1:14" ht="15.6">
      <c r="A13" s="268"/>
      <c r="B13" s="265"/>
      <c r="C13" s="265"/>
      <c r="D13" s="265"/>
      <c r="E13" s="265"/>
      <c r="F13" s="265"/>
      <c r="G13" s="265"/>
      <c r="H13" s="265"/>
      <c r="I13" s="265"/>
      <c r="J13" s="265"/>
      <c r="K13" s="265"/>
      <c r="L13" s="265"/>
      <c r="M13" s="265"/>
      <c r="N13" s="265"/>
    </row>
    <row r="14" spans="1:14" ht="15.6">
      <c r="A14" s="351" t="s">
        <v>370</v>
      </c>
      <c r="B14" s="265"/>
      <c r="C14" s="265"/>
      <c r="D14" s="265"/>
      <c r="E14" s="265"/>
      <c r="F14" s="265"/>
      <c r="G14" s="265"/>
      <c r="H14" s="265"/>
      <c r="I14" s="265"/>
      <c r="J14" s="265"/>
      <c r="K14" s="265"/>
      <c r="L14" s="265"/>
      <c r="M14" s="265"/>
      <c r="N14" s="265"/>
    </row>
    <row r="15" spans="1:14" ht="15.6">
      <c r="A15" s="357" t="s">
        <v>24</v>
      </c>
    </row>
    <row r="16" spans="1:14">
      <c r="A16" s="358"/>
    </row>
  </sheetData>
  <pageMargins left="0.7" right="0.7" top="0.75" bottom="0.75" header="0.3" footer="0.3"/>
  <pageSetup orientation="portrait" verticalDpi="9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1A031-FD54-4C7C-93C0-06259E4408CA}">
  <sheetPr codeName="Sheet40"/>
  <dimension ref="A1:N29"/>
  <sheetViews>
    <sheetView topLeftCell="A23" workbookViewId="0"/>
  </sheetViews>
  <sheetFormatPr defaultColWidth="9.21875" defaultRowHeight="14.4"/>
  <cols>
    <col min="1" max="1" width="46.5546875" style="67" customWidth="1"/>
    <col min="2" max="4" width="14.44140625" style="67" customWidth="1"/>
    <col min="5" max="16384" width="9.21875" style="67"/>
  </cols>
  <sheetData>
    <row r="1" spans="1:14" ht="17.399999999999999">
      <c r="A1" s="65" t="s">
        <v>364</v>
      </c>
      <c r="B1" s="66"/>
      <c r="C1" s="66"/>
      <c r="D1" s="66"/>
      <c r="E1" s="66"/>
      <c r="F1" s="66"/>
      <c r="G1" s="66"/>
      <c r="H1" s="66"/>
      <c r="I1" s="66"/>
      <c r="J1" s="66"/>
      <c r="K1" s="66"/>
      <c r="L1" s="66"/>
      <c r="M1" s="66"/>
      <c r="N1" s="66"/>
    </row>
    <row r="2" spans="1:14" ht="15.6">
      <c r="A2" s="68" t="s">
        <v>227</v>
      </c>
      <c r="B2" s="66"/>
      <c r="C2" s="66"/>
      <c r="D2" s="66"/>
      <c r="E2" s="66"/>
      <c r="F2" s="66"/>
      <c r="G2" s="66"/>
      <c r="H2" s="66"/>
      <c r="I2" s="66"/>
      <c r="J2" s="66"/>
      <c r="K2" s="66"/>
      <c r="L2" s="66"/>
      <c r="M2" s="66"/>
      <c r="N2" s="66"/>
    </row>
    <row r="3" spans="1:14">
      <c r="A3" s="66"/>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c r="B5" s="66"/>
      <c r="C5" s="66"/>
      <c r="D5" s="66"/>
      <c r="E5" s="66"/>
      <c r="F5" s="66"/>
      <c r="G5" s="66"/>
      <c r="H5" s="66"/>
      <c r="I5" s="66"/>
      <c r="J5" s="66"/>
      <c r="K5" s="66"/>
      <c r="L5" s="66"/>
      <c r="M5" s="66"/>
      <c r="N5" s="66"/>
    </row>
    <row r="6" spans="1:14" ht="15.6">
      <c r="A6" s="157" t="s">
        <v>371</v>
      </c>
      <c r="B6" s="66"/>
      <c r="C6" s="66"/>
      <c r="D6" s="66"/>
      <c r="E6" s="66"/>
      <c r="F6" s="66"/>
      <c r="G6" s="66"/>
      <c r="H6" s="66"/>
      <c r="I6" s="66"/>
      <c r="J6" s="66"/>
      <c r="K6" s="66"/>
      <c r="L6" s="66"/>
      <c r="M6" s="66"/>
      <c r="N6" s="66"/>
    </row>
    <row r="7" spans="1:14" ht="15.6">
      <c r="A7" s="166" t="s">
        <v>372</v>
      </c>
      <c r="B7" s="66"/>
      <c r="C7" s="66"/>
      <c r="D7" s="66"/>
      <c r="E7" s="66"/>
      <c r="F7" s="66"/>
      <c r="G7" s="66"/>
      <c r="H7" s="66"/>
      <c r="I7" s="66"/>
      <c r="J7" s="66"/>
      <c r="K7" s="66"/>
      <c r="L7" s="66"/>
      <c r="M7" s="66"/>
      <c r="N7" s="66"/>
    </row>
    <row r="8" spans="1:14" ht="16.2" thickBot="1">
      <c r="A8" s="168" t="s">
        <v>373</v>
      </c>
      <c r="B8" s="66"/>
      <c r="C8" s="66"/>
      <c r="D8" s="66"/>
      <c r="E8" s="66"/>
      <c r="F8" s="66"/>
      <c r="G8" s="66"/>
      <c r="H8" s="66"/>
      <c r="I8" s="66"/>
      <c r="J8" s="66"/>
      <c r="K8" s="66"/>
      <c r="L8" s="66"/>
      <c r="M8" s="66"/>
      <c r="N8" s="66"/>
    </row>
    <row r="9" spans="1:14" ht="15.6">
      <c r="A9" s="1147" t="s">
        <v>374</v>
      </c>
      <c r="B9" s="169"/>
      <c r="C9" s="170" t="s">
        <v>375</v>
      </c>
      <c r="D9" s="66"/>
      <c r="E9" s="66"/>
      <c r="F9" s="66"/>
      <c r="G9" s="66"/>
      <c r="H9" s="66"/>
      <c r="I9" s="66"/>
      <c r="J9" s="66"/>
      <c r="K9" s="66"/>
      <c r="L9" s="66"/>
      <c r="M9" s="66"/>
      <c r="N9" s="66"/>
    </row>
    <row r="10" spans="1:14" ht="16.2" thickBot="1">
      <c r="A10" s="1148"/>
      <c r="B10" s="133" t="s">
        <v>199</v>
      </c>
      <c r="C10" s="172" t="s">
        <v>376</v>
      </c>
      <c r="D10" s="66"/>
      <c r="E10" s="66"/>
      <c r="F10" s="66"/>
      <c r="G10" s="66"/>
      <c r="H10" s="66"/>
      <c r="I10" s="66"/>
      <c r="J10" s="66"/>
      <c r="K10" s="66"/>
      <c r="L10" s="66"/>
      <c r="M10" s="66"/>
      <c r="N10" s="66"/>
    </row>
    <row r="11" spans="1:14" ht="16.2" thickBot="1">
      <c r="A11" s="171">
        <v>2022</v>
      </c>
      <c r="B11" s="134">
        <v>15000</v>
      </c>
      <c r="C11" s="173">
        <v>1500000</v>
      </c>
      <c r="D11" s="66"/>
      <c r="E11" s="66"/>
      <c r="F11" s="66"/>
      <c r="G11" s="66"/>
      <c r="H11" s="66"/>
      <c r="I11" s="66"/>
      <c r="J11" s="66"/>
      <c r="K11" s="66"/>
      <c r="L11" s="66"/>
      <c r="M11" s="66"/>
      <c r="N11" s="66"/>
    </row>
    <row r="12" spans="1:14" ht="16.2" thickBot="1">
      <c r="A12" s="171">
        <v>2023</v>
      </c>
      <c r="B12" s="134">
        <v>14700</v>
      </c>
      <c r="C12" s="173">
        <v>1470000</v>
      </c>
      <c r="D12" s="66"/>
      <c r="E12" s="66"/>
      <c r="F12" s="66"/>
      <c r="G12" s="66"/>
      <c r="H12" s="66"/>
      <c r="I12" s="66"/>
      <c r="J12" s="66"/>
      <c r="K12" s="66"/>
      <c r="L12" s="66"/>
      <c r="M12" s="66"/>
      <c r="N12" s="66"/>
    </row>
    <row r="13" spans="1:14" ht="16.2" thickBot="1">
      <c r="A13" s="171">
        <v>2024</v>
      </c>
      <c r="B13" s="134">
        <v>14400</v>
      </c>
      <c r="C13" s="173">
        <v>1440000</v>
      </c>
      <c r="D13" s="66"/>
      <c r="E13" s="66"/>
      <c r="F13" s="66"/>
      <c r="G13" s="66"/>
      <c r="H13" s="66"/>
      <c r="I13" s="66"/>
      <c r="J13" s="66"/>
      <c r="K13" s="66"/>
      <c r="L13" s="66"/>
      <c r="M13" s="66"/>
      <c r="N13" s="66"/>
    </row>
    <row r="14" spans="1:14" ht="16.2" thickBot="1">
      <c r="A14" s="171">
        <v>2025</v>
      </c>
      <c r="B14" s="134">
        <v>14100</v>
      </c>
      <c r="C14" s="173">
        <v>1410000</v>
      </c>
      <c r="D14" s="66"/>
      <c r="E14" s="66"/>
      <c r="F14" s="66"/>
      <c r="G14" s="66"/>
      <c r="H14" s="66"/>
      <c r="I14" s="66"/>
      <c r="J14" s="66"/>
      <c r="K14" s="66"/>
      <c r="L14" s="66"/>
      <c r="M14" s="66"/>
      <c r="N14" s="66"/>
    </row>
    <row r="15" spans="1:14" ht="19.5" customHeight="1" thickBot="1">
      <c r="A15" s="174" t="s">
        <v>377</v>
      </c>
      <c r="B15" s="175" t="s">
        <v>377</v>
      </c>
      <c r="C15" s="176" t="s">
        <v>377</v>
      </c>
      <c r="D15" s="66"/>
      <c r="E15" s="66"/>
      <c r="F15" s="66"/>
      <c r="G15" s="66"/>
      <c r="H15" s="66"/>
      <c r="I15" s="66"/>
      <c r="J15" s="66"/>
      <c r="K15" s="66"/>
      <c r="L15" s="66"/>
      <c r="M15" s="66"/>
      <c r="N15" s="66"/>
    </row>
    <row r="16" spans="1:14" ht="16.2" thickBot="1">
      <c r="A16" s="177" t="s">
        <v>378</v>
      </c>
      <c r="B16" s="178">
        <v>250000</v>
      </c>
      <c r="C16" s="179">
        <v>25000000</v>
      </c>
      <c r="D16" s="66"/>
      <c r="E16" s="66"/>
      <c r="F16" s="66"/>
      <c r="G16" s="66"/>
      <c r="H16" s="66"/>
      <c r="I16" s="66"/>
      <c r="J16" s="66"/>
      <c r="K16" s="66"/>
      <c r="L16" s="66"/>
      <c r="M16" s="66"/>
      <c r="N16" s="66"/>
    </row>
    <row r="17" spans="1:14" ht="15.6">
      <c r="A17" s="166"/>
      <c r="B17" s="66"/>
      <c r="C17" s="66"/>
      <c r="D17" s="66"/>
      <c r="E17" s="66"/>
      <c r="F17" s="66"/>
      <c r="G17" s="66"/>
      <c r="H17" s="66"/>
      <c r="I17" s="66"/>
      <c r="J17" s="66"/>
      <c r="K17" s="66"/>
      <c r="L17" s="66"/>
      <c r="M17" s="66"/>
      <c r="N17" s="66"/>
    </row>
    <row r="18" spans="1:14" ht="15.6">
      <c r="A18" s="168" t="s">
        <v>379</v>
      </c>
      <c r="B18" s="66"/>
      <c r="C18" s="66"/>
      <c r="D18" s="66"/>
      <c r="E18" s="66"/>
      <c r="F18" s="66"/>
      <c r="G18" s="66"/>
      <c r="H18" s="66"/>
      <c r="I18" s="66"/>
      <c r="J18" s="66"/>
      <c r="K18" s="66"/>
      <c r="L18" s="66"/>
      <c r="M18" s="66"/>
      <c r="N18" s="66"/>
    </row>
    <row r="19" spans="1:14" ht="15.6">
      <c r="A19" s="168" t="s">
        <v>380</v>
      </c>
      <c r="B19" s="66"/>
      <c r="C19" s="66"/>
      <c r="D19" s="66"/>
      <c r="E19" s="66"/>
      <c r="F19" s="66"/>
      <c r="G19" s="66"/>
      <c r="H19" s="66"/>
      <c r="I19" s="66"/>
      <c r="J19" s="66"/>
      <c r="K19" s="66"/>
      <c r="L19" s="66"/>
      <c r="M19" s="66"/>
      <c r="N19" s="66"/>
    </row>
    <row r="20" spans="1:14" ht="15.6">
      <c r="A20" s="168" t="s">
        <v>381</v>
      </c>
      <c r="B20" s="66"/>
      <c r="C20" s="66"/>
      <c r="D20" s="66"/>
      <c r="E20" s="66"/>
      <c r="F20" s="66"/>
      <c r="G20" s="66"/>
      <c r="H20" s="66"/>
      <c r="I20" s="66"/>
      <c r="J20" s="66"/>
      <c r="K20" s="66"/>
      <c r="L20" s="66"/>
      <c r="M20" s="66"/>
      <c r="N20" s="66"/>
    </row>
    <row r="21" spans="1:14" ht="15.6">
      <c r="A21" s="166"/>
      <c r="B21" s="66"/>
      <c r="C21" s="66"/>
      <c r="D21" s="66"/>
      <c r="E21" s="66"/>
      <c r="F21" s="66"/>
      <c r="G21" s="66"/>
      <c r="H21" s="66"/>
      <c r="I21" s="66"/>
      <c r="J21" s="66"/>
      <c r="K21" s="66"/>
      <c r="L21" s="66"/>
      <c r="M21" s="66"/>
      <c r="N21" s="66"/>
    </row>
    <row r="22" spans="1:14" ht="15.6">
      <c r="A22" s="157" t="s">
        <v>68</v>
      </c>
      <c r="B22" s="66"/>
      <c r="C22" s="66"/>
      <c r="D22" s="66"/>
      <c r="E22" s="66"/>
      <c r="F22" s="66"/>
      <c r="G22" s="66"/>
      <c r="H22" s="66"/>
      <c r="I22" s="66"/>
      <c r="J22" s="66"/>
      <c r="K22" s="66"/>
      <c r="L22" s="66"/>
      <c r="M22" s="66"/>
      <c r="N22" s="66"/>
    </row>
    <row r="23" spans="1:14" ht="15.6">
      <c r="A23" s="157"/>
      <c r="B23" s="66"/>
      <c r="C23" s="66"/>
      <c r="D23" s="66"/>
      <c r="E23" s="66"/>
      <c r="F23" s="66"/>
      <c r="G23" s="66"/>
      <c r="H23" s="66"/>
      <c r="I23" s="66"/>
      <c r="J23" s="66"/>
      <c r="K23" s="66"/>
      <c r="L23" s="66"/>
      <c r="M23" s="66"/>
      <c r="N23" s="66"/>
    </row>
    <row r="24" spans="1:14" ht="15.6">
      <c r="A24" s="158" t="s">
        <v>382</v>
      </c>
      <c r="B24" s="66"/>
      <c r="C24" s="66"/>
      <c r="D24" s="66"/>
      <c r="E24" s="66"/>
      <c r="F24" s="66"/>
      <c r="G24" s="66"/>
      <c r="H24" s="66"/>
      <c r="I24" s="66"/>
      <c r="J24" s="66"/>
      <c r="K24" s="66"/>
      <c r="L24" s="66"/>
      <c r="M24" s="66"/>
      <c r="N24" s="66"/>
    </row>
    <row r="25" spans="1:14" ht="15.6">
      <c r="A25" s="159" t="s">
        <v>383</v>
      </c>
      <c r="B25" s="66"/>
      <c r="C25" s="66"/>
      <c r="D25" s="66"/>
      <c r="E25" s="66"/>
      <c r="F25" s="66"/>
      <c r="G25" s="66"/>
      <c r="H25" s="66"/>
      <c r="I25" s="66"/>
      <c r="J25" s="66"/>
      <c r="K25" s="66"/>
      <c r="L25" s="66"/>
      <c r="M25" s="66"/>
      <c r="N25" s="66"/>
    </row>
    <row r="26" spans="1:14" ht="15.6">
      <c r="A26" s="158" t="s">
        <v>384</v>
      </c>
      <c r="B26" s="66"/>
      <c r="C26" s="66"/>
      <c r="D26" s="66"/>
      <c r="E26" s="66"/>
      <c r="F26" s="66"/>
      <c r="G26" s="66"/>
      <c r="H26" s="66"/>
      <c r="I26" s="66"/>
      <c r="J26" s="66"/>
      <c r="K26" s="66"/>
      <c r="L26" s="66"/>
      <c r="M26" s="66"/>
      <c r="N26" s="66"/>
    </row>
    <row r="27" spans="1:14" ht="15.6">
      <c r="A27" s="166"/>
      <c r="B27" s="66"/>
      <c r="C27" s="66"/>
      <c r="D27" s="66"/>
      <c r="E27" s="66"/>
      <c r="F27" s="66"/>
      <c r="G27" s="66"/>
      <c r="H27" s="66"/>
      <c r="I27" s="66"/>
      <c r="J27" s="66"/>
      <c r="K27" s="66"/>
      <c r="L27" s="66"/>
      <c r="M27" s="66"/>
      <c r="N27" s="66"/>
    </row>
    <row r="28" spans="1:14" ht="15.6">
      <c r="A28" s="166" t="s">
        <v>385</v>
      </c>
      <c r="B28" s="66"/>
      <c r="C28" s="66"/>
      <c r="D28" s="66"/>
      <c r="E28" s="66"/>
      <c r="F28" s="66"/>
      <c r="G28" s="66"/>
      <c r="H28" s="66"/>
      <c r="I28" s="66"/>
      <c r="J28" s="66"/>
      <c r="K28" s="66"/>
      <c r="L28" s="66"/>
      <c r="M28" s="66"/>
      <c r="N28" s="66"/>
    </row>
    <row r="29" spans="1:14" ht="15.6">
      <c r="A29" s="104" t="s">
        <v>24</v>
      </c>
    </row>
  </sheetData>
  <mergeCells count="1">
    <mergeCell ref="A9:A10"/>
  </mergeCells>
  <pageMargins left="0.7" right="0.7" top="0.75" bottom="0.75" header="0.3" footer="0.3"/>
  <pageSetup orientation="portrait" verticalDpi="9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0AC75-9ADC-413E-9AA6-07D82A90C648}">
  <sheetPr codeName="Sheet41"/>
  <dimension ref="A1:N29"/>
  <sheetViews>
    <sheetView topLeftCell="A23" workbookViewId="0"/>
  </sheetViews>
  <sheetFormatPr defaultColWidth="9.21875" defaultRowHeight="14.4"/>
  <cols>
    <col min="1" max="1" width="46.5546875" style="67" customWidth="1"/>
    <col min="2" max="4" width="14.44140625" style="67" customWidth="1"/>
    <col min="5" max="16384" width="9.21875" style="67"/>
  </cols>
  <sheetData>
    <row r="1" spans="1:14" ht="17.399999999999999">
      <c r="A1" s="65" t="s">
        <v>364</v>
      </c>
      <c r="B1" s="66"/>
      <c r="C1" s="66"/>
      <c r="D1" s="66"/>
      <c r="E1" s="66"/>
      <c r="F1" s="66"/>
      <c r="G1" s="66"/>
      <c r="H1" s="66"/>
      <c r="I1" s="66"/>
      <c r="J1" s="66"/>
      <c r="K1" s="66"/>
      <c r="L1" s="66"/>
      <c r="M1" s="66"/>
      <c r="N1" s="66"/>
    </row>
    <row r="2" spans="1:14" ht="15.6">
      <c r="A2" s="68" t="s">
        <v>227</v>
      </c>
      <c r="B2" s="66"/>
      <c r="C2" s="66"/>
      <c r="D2" s="66"/>
      <c r="E2" s="66"/>
      <c r="F2" s="66"/>
      <c r="G2" s="66"/>
      <c r="H2" s="66"/>
      <c r="I2" s="66"/>
      <c r="J2" s="66"/>
      <c r="K2" s="66"/>
      <c r="L2" s="66"/>
      <c r="M2" s="66"/>
      <c r="N2" s="66"/>
    </row>
    <row r="3" spans="1:14">
      <c r="A3" s="66"/>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c r="B5" s="66"/>
      <c r="C5" s="66"/>
      <c r="D5" s="66"/>
      <c r="E5" s="66"/>
      <c r="F5" s="66"/>
      <c r="G5" s="66"/>
      <c r="H5" s="66"/>
      <c r="I5" s="66"/>
      <c r="J5" s="66"/>
      <c r="K5" s="66"/>
      <c r="L5" s="66"/>
      <c r="M5" s="66"/>
      <c r="N5" s="66"/>
    </row>
    <row r="6" spans="1:14" ht="15.6">
      <c r="A6" s="157" t="s">
        <v>371</v>
      </c>
      <c r="B6" s="66"/>
      <c r="C6" s="66"/>
      <c r="D6" s="66"/>
      <c r="E6" s="66"/>
      <c r="F6" s="66"/>
      <c r="G6" s="66"/>
      <c r="H6" s="66"/>
      <c r="I6" s="66"/>
      <c r="J6" s="66"/>
      <c r="K6" s="66"/>
      <c r="L6" s="66"/>
      <c r="M6" s="66"/>
      <c r="N6" s="66"/>
    </row>
    <row r="7" spans="1:14" ht="15.6">
      <c r="A7" s="166" t="s">
        <v>372</v>
      </c>
      <c r="B7" s="66"/>
      <c r="C7" s="66"/>
      <c r="D7" s="66"/>
      <c r="E7" s="66"/>
      <c r="F7" s="66"/>
      <c r="G7" s="66"/>
      <c r="H7" s="66"/>
      <c r="I7" s="66"/>
      <c r="J7" s="66"/>
      <c r="K7" s="66"/>
      <c r="L7" s="66"/>
      <c r="M7" s="66"/>
      <c r="N7" s="66"/>
    </row>
    <row r="8" spans="1:14" ht="16.2" thickBot="1">
      <c r="A8" s="168" t="s">
        <v>373</v>
      </c>
      <c r="B8" s="66"/>
      <c r="C8" s="66"/>
      <c r="D8" s="66"/>
      <c r="E8" s="66"/>
      <c r="F8" s="66"/>
      <c r="G8" s="66"/>
      <c r="H8" s="66"/>
      <c r="I8" s="66"/>
      <c r="J8" s="66"/>
      <c r="K8" s="66"/>
      <c r="L8" s="66"/>
      <c r="M8" s="66"/>
      <c r="N8" s="66"/>
    </row>
    <row r="9" spans="1:14" ht="15.6">
      <c r="A9" s="1147" t="s">
        <v>374</v>
      </c>
      <c r="B9" s="169"/>
      <c r="C9" s="170" t="s">
        <v>375</v>
      </c>
      <c r="D9" s="66"/>
      <c r="E9" s="66"/>
      <c r="F9" s="66"/>
      <c r="G9" s="66"/>
      <c r="H9" s="66"/>
      <c r="I9" s="66"/>
      <c r="J9" s="66"/>
      <c r="K9" s="66"/>
      <c r="L9" s="66"/>
      <c r="M9" s="66"/>
      <c r="N9" s="66"/>
    </row>
    <row r="10" spans="1:14" ht="16.2" thickBot="1">
      <c r="A10" s="1148"/>
      <c r="B10" s="133" t="s">
        <v>199</v>
      </c>
      <c r="C10" s="172" t="s">
        <v>376</v>
      </c>
      <c r="D10" s="66"/>
      <c r="E10" s="66"/>
      <c r="F10" s="66"/>
      <c r="G10" s="66"/>
      <c r="H10" s="66"/>
      <c r="I10" s="66"/>
      <c r="J10" s="66"/>
      <c r="K10" s="66"/>
      <c r="L10" s="66"/>
      <c r="M10" s="66"/>
      <c r="N10" s="66"/>
    </row>
    <row r="11" spans="1:14" ht="16.2" thickBot="1">
      <c r="A11" s="171">
        <v>2022</v>
      </c>
      <c r="B11" s="134">
        <v>15000</v>
      </c>
      <c r="C11" s="173">
        <v>1500000</v>
      </c>
      <c r="D11" s="66"/>
      <c r="E11" s="66"/>
      <c r="F11" s="66"/>
      <c r="G11" s="66"/>
      <c r="H11" s="66"/>
      <c r="I11" s="66"/>
      <c r="J11" s="66"/>
      <c r="K11" s="66"/>
      <c r="L11" s="66"/>
      <c r="M11" s="66"/>
      <c r="N11" s="66"/>
    </row>
    <row r="12" spans="1:14" ht="16.2" thickBot="1">
      <c r="A12" s="171">
        <v>2023</v>
      </c>
      <c r="B12" s="134">
        <v>14700</v>
      </c>
      <c r="C12" s="173">
        <v>1470000</v>
      </c>
      <c r="D12" s="66"/>
      <c r="E12" s="66"/>
      <c r="F12" s="66"/>
      <c r="G12" s="66"/>
      <c r="H12" s="66"/>
      <c r="I12" s="66"/>
      <c r="J12" s="66"/>
      <c r="K12" s="66"/>
      <c r="L12" s="66"/>
      <c r="M12" s="66"/>
      <c r="N12" s="66"/>
    </row>
    <row r="13" spans="1:14" ht="16.2" thickBot="1">
      <c r="A13" s="171">
        <v>2024</v>
      </c>
      <c r="B13" s="134">
        <v>14400</v>
      </c>
      <c r="C13" s="173">
        <v>1440000</v>
      </c>
      <c r="D13" s="66"/>
      <c r="E13" s="66"/>
      <c r="F13" s="66"/>
      <c r="G13" s="66"/>
      <c r="H13" s="66"/>
      <c r="I13" s="66"/>
      <c r="J13" s="66"/>
      <c r="K13" s="66"/>
      <c r="L13" s="66"/>
      <c r="M13" s="66"/>
      <c r="N13" s="66"/>
    </row>
    <row r="14" spans="1:14" ht="16.2" thickBot="1">
      <c r="A14" s="171">
        <v>2025</v>
      </c>
      <c r="B14" s="134">
        <v>14100</v>
      </c>
      <c r="C14" s="173">
        <v>1410000</v>
      </c>
      <c r="D14" s="66"/>
      <c r="E14" s="66"/>
      <c r="F14" s="66"/>
      <c r="G14" s="66"/>
      <c r="H14" s="66"/>
      <c r="I14" s="66"/>
      <c r="J14" s="66"/>
      <c r="K14" s="66"/>
      <c r="L14" s="66"/>
      <c r="M14" s="66"/>
      <c r="N14" s="66"/>
    </row>
    <row r="15" spans="1:14" ht="19.5" customHeight="1" thickBot="1">
      <c r="A15" s="174" t="s">
        <v>377</v>
      </c>
      <c r="B15" s="175" t="s">
        <v>377</v>
      </c>
      <c r="C15" s="176" t="s">
        <v>377</v>
      </c>
      <c r="D15" s="66"/>
      <c r="E15" s="66"/>
      <c r="F15" s="66"/>
      <c r="G15" s="66"/>
      <c r="H15" s="66"/>
      <c r="I15" s="66"/>
      <c r="J15" s="66"/>
      <c r="K15" s="66"/>
      <c r="L15" s="66"/>
      <c r="M15" s="66"/>
      <c r="N15" s="66"/>
    </row>
    <row r="16" spans="1:14" ht="16.2" thickBot="1">
      <c r="A16" s="177" t="s">
        <v>378</v>
      </c>
      <c r="B16" s="178">
        <v>250000</v>
      </c>
      <c r="C16" s="179">
        <v>25000000</v>
      </c>
      <c r="D16" s="66"/>
      <c r="E16" s="66"/>
      <c r="F16" s="66"/>
      <c r="G16" s="66"/>
      <c r="H16" s="66"/>
      <c r="I16" s="66"/>
      <c r="J16" s="66"/>
      <c r="K16" s="66"/>
      <c r="L16" s="66"/>
      <c r="M16" s="66"/>
      <c r="N16" s="66"/>
    </row>
    <row r="17" spans="1:14" ht="15.6">
      <c r="A17" s="166"/>
      <c r="B17" s="66"/>
      <c r="C17" s="66"/>
      <c r="D17" s="66"/>
      <c r="E17" s="66"/>
      <c r="F17" s="66"/>
      <c r="G17" s="66"/>
      <c r="H17" s="66"/>
      <c r="I17" s="66"/>
      <c r="J17" s="66"/>
      <c r="K17" s="66"/>
      <c r="L17" s="66"/>
      <c r="M17" s="66"/>
      <c r="N17" s="66"/>
    </row>
    <row r="18" spans="1:14" ht="15.6">
      <c r="A18" s="168" t="s">
        <v>379</v>
      </c>
      <c r="B18" s="66"/>
      <c r="C18" s="66"/>
      <c r="D18" s="66"/>
      <c r="E18" s="66"/>
      <c r="F18" s="66"/>
      <c r="G18" s="66"/>
      <c r="H18" s="66"/>
      <c r="I18" s="66"/>
      <c r="J18" s="66"/>
      <c r="K18" s="66"/>
      <c r="L18" s="66"/>
      <c r="M18" s="66"/>
      <c r="N18" s="66"/>
    </row>
    <row r="19" spans="1:14" ht="15.6">
      <c r="A19" s="168" t="s">
        <v>380</v>
      </c>
      <c r="B19" s="66"/>
      <c r="C19" s="66"/>
      <c r="D19" s="66"/>
      <c r="E19" s="66"/>
      <c r="F19" s="66"/>
      <c r="G19" s="66"/>
      <c r="H19" s="66"/>
      <c r="I19" s="66"/>
      <c r="J19" s="66"/>
      <c r="K19" s="66"/>
      <c r="L19" s="66"/>
      <c r="M19" s="66"/>
      <c r="N19" s="66"/>
    </row>
    <row r="20" spans="1:14" ht="15.6">
      <c r="A20" s="168" t="s">
        <v>381</v>
      </c>
      <c r="B20" s="66"/>
      <c r="C20" s="66"/>
      <c r="D20" s="66"/>
      <c r="E20" s="66"/>
      <c r="F20" s="66"/>
      <c r="G20" s="66"/>
      <c r="H20" s="66"/>
      <c r="I20" s="66"/>
      <c r="J20" s="66"/>
      <c r="K20" s="66"/>
      <c r="L20" s="66"/>
      <c r="M20" s="66"/>
      <c r="N20" s="66"/>
    </row>
    <row r="21" spans="1:14" ht="15.6">
      <c r="A21" s="166"/>
      <c r="B21" s="66"/>
      <c r="C21" s="66"/>
      <c r="D21" s="66"/>
      <c r="E21" s="66"/>
      <c r="F21" s="66"/>
      <c r="G21" s="66"/>
      <c r="H21" s="66"/>
      <c r="I21" s="66"/>
      <c r="J21" s="66"/>
      <c r="K21" s="66"/>
      <c r="L21" s="66"/>
      <c r="M21" s="66"/>
      <c r="N21" s="66"/>
    </row>
    <row r="22" spans="1:14" ht="15.6">
      <c r="A22" s="157" t="s">
        <v>68</v>
      </c>
      <c r="B22" s="66"/>
      <c r="C22" s="66"/>
      <c r="D22" s="66"/>
      <c r="E22" s="66"/>
      <c r="F22" s="66"/>
      <c r="G22" s="66"/>
      <c r="H22" s="66"/>
      <c r="I22" s="66"/>
      <c r="J22" s="66"/>
      <c r="K22" s="66"/>
      <c r="L22" s="66"/>
      <c r="M22" s="66"/>
      <c r="N22" s="66"/>
    </row>
    <row r="23" spans="1:14" ht="15.6">
      <c r="A23" s="157"/>
      <c r="B23" s="66"/>
      <c r="C23" s="66"/>
      <c r="D23" s="66"/>
      <c r="E23" s="66"/>
      <c r="F23" s="66"/>
      <c r="G23" s="66"/>
      <c r="H23" s="66"/>
      <c r="I23" s="66"/>
      <c r="J23" s="66"/>
      <c r="K23" s="66"/>
      <c r="L23" s="66"/>
      <c r="M23" s="66"/>
      <c r="N23" s="66"/>
    </row>
    <row r="24" spans="1:14" ht="15.6">
      <c r="A24" s="158" t="s">
        <v>382</v>
      </c>
      <c r="B24" s="66"/>
      <c r="C24" s="66"/>
      <c r="D24" s="66"/>
      <c r="E24" s="66"/>
      <c r="F24" s="66"/>
      <c r="G24" s="66"/>
      <c r="H24" s="66"/>
      <c r="I24" s="66"/>
      <c r="J24" s="66"/>
      <c r="K24" s="66"/>
      <c r="L24" s="66"/>
      <c r="M24" s="66"/>
      <c r="N24" s="66"/>
    </row>
    <row r="25" spans="1:14" ht="15.6">
      <c r="A25" s="159" t="s">
        <v>383</v>
      </c>
      <c r="B25" s="66"/>
      <c r="C25" s="66"/>
      <c r="D25" s="66"/>
      <c r="E25" s="66"/>
      <c r="F25" s="66"/>
      <c r="G25" s="66"/>
      <c r="H25" s="66"/>
      <c r="I25" s="66"/>
      <c r="J25" s="66"/>
      <c r="K25" s="66"/>
      <c r="L25" s="66"/>
      <c r="M25" s="66"/>
      <c r="N25" s="66"/>
    </row>
    <row r="26" spans="1:14" ht="15.6">
      <c r="A26" s="158" t="s">
        <v>384</v>
      </c>
      <c r="B26" s="66"/>
      <c r="C26" s="66"/>
      <c r="D26" s="66"/>
      <c r="E26" s="66"/>
      <c r="F26" s="66"/>
      <c r="G26" s="66"/>
      <c r="H26" s="66"/>
      <c r="I26" s="66"/>
      <c r="J26" s="66"/>
      <c r="K26" s="66"/>
      <c r="L26" s="66"/>
      <c r="M26" s="66"/>
      <c r="N26" s="66"/>
    </row>
    <row r="27" spans="1:14" ht="15.6">
      <c r="A27" s="166"/>
      <c r="B27" s="66"/>
      <c r="C27" s="66"/>
      <c r="D27" s="66"/>
      <c r="E27" s="66"/>
      <c r="F27" s="66"/>
      <c r="G27" s="66"/>
      <c r="H27" s="66"/>
      <c r="I27" s="66"/>
      <c r="J27" s="66"/>
      <c r="K27" s="66"/>
      <c r="L27" s="66"/>
      <c r="M27" s="66"/>
      <c r="N27" s="66"/>
    </row>
    <row r="28" spans="1:14" ht="15.6">
      <c r="A28" s="166" t="s">
        <v>386</v>
      </c>
      <c r="B28" s="157"/>
      <c r="C28" s="157"/>
      <c r="D28" s="157"/>
      <c r="E28" s="66"/>
      <c r="F28" s="66"/>
      <c r="G28" s="66"/>
      <c r="H28" s="66"/>
      <c r="I28" s="66"/>
      <c r="J28" s="66"/>
      <c r="K28" s="66"/>
      <c r="L28" s="66"/>
      <c r="M28" s="66"/>
      <c r="N28" s="66"/>
    </row>
    <row r="29" spans="1:14" ht="15.6">
      <c r="A29" s="104" t="s">
        <v>24</v>
      </c>
    </row>
  </sheetData>
  <mergeCells count="1">
    <mergeCell ref="A9:A10"/>
  </mergeCells>
  <pageMargins left="0.7" right="0.7" top="0.75" bottom="0.75" header="0.3" footer="0.3"/>
  <pageSetup orientation="portrait" verticalDpi="9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3AB2C-E6AD-4DFB-83F3-AC1D7A159D8B}">
  <sheetPr codeName="Sheet42"/>
  <dimension ref="A1:N30"/>
  <sheetViews>
    <sheetView topLeftCell="A22" workbookViewId="0"/>
  </sheetViews>
  <sheetFormatPr defaultColWidth="9.21875" defaultRowHeight="14.4"/>
  <cols>
    <col min="1" max="1" width="46.5546875" style="67" customWidth="1"/>
    <col min="2" max="4" width="14.44140625" style="67" customWidth="1"/>
    <col min="5" max="16384" width="9.21875" style="67"/>
  </cols>
  <sheetData>
    <row r="1" spans="1:14" ht="17.399999999999999">
      <c r="A1" s="65" t="s">
        <v>72</v>
      </c>
      <c r="B1" s="66"/>
      <c r="C1" s="66"/>
      <c r="D1" s="66"/>
      <c r="E1" s="66"/>
      <c r="F1" s="66"/>
      <c r="G1" s="66"/>
      <c r="H1" s="66"/>
      <c r="I1" s="66"/>
      <c r="J1" s="66"/>
      <c r="K1" s="66"/>
      <c r="L1" s="66"/>
      <c r="M1" s="66"/>
      <c r="N1" s="66"/>
    </row>
    <row r="2" spans="1:14" ht="15.6">
      <c r="A2" s="68" t="s">
        <v>387</v>
      </c>
      <c r="B2" s="66"/>
      <c r="C2" s="66"/>
      <c r="D2" s="66"/>
      <c r="E2" s="66"/>
      <c r="F2" s="66"/>
      <c r="G2" s="66"/>
      <c r="H2" s="66"/>
      <c r="I2" s="66"/>
      <c r="J2" s="66"/>
      <c r="K2" s="66"/>
      <c r="L2" s="66"/>
      <c r="M2" s="66"/>
      <c r="N2" s="66"/>
    </row>
    <row r="3" spans="1:14" ht="15.6">
      <c r="A3" s="68" t="s">
        <v>388</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157" t="s">
        <v>389</v>
      </c>
      <c r="B5" s="66"/>
      <c r="C5" s="66"/>
      <c r="D5" s="66"/>
      <c r="E5" s="66"/>
      <c r="F5" s="66"/>
      <c r="G5" s="66"/>
      <c r="H5" s="66"/>
      <c r="I5" s="66"/>
      <c r="J5" s="66"/>
      <c r="K5" s="66"/>
      <c r="L5" s="66"/>
      <c r="M5" s="66"/>
      <c r="N5" s="66"/>
    </row>
    <row r="6" spans="1:14" ht="16.2" thickBot="1">
      <c r="A6" s="70"/>
      <c r="B6" s="66"/>
      <c r="C6" s="66"/>
      <c r="D6" s="66"/>
      <c r="E6" s="66"/>
      <c r="F6" s="66"/>
      <c r="G6" s="66"/>
      <c r="H6" s="66"/>
      <c r="I6" s="66"/>
      <c r="J6" s="66"/>
      <c r="K6" s="66"/>
      <c r="L6" s="66"/>
      <c r="M6" s="66"/>
      <c r="N6" s="66"/>
    </row>
    <row r="7" spans="1:14" ht="16.2" thickBot="1">
      <c r="A7" s="110" t="s">
        <v>390</v>
      </c>
      <c r="B7" s="180">
        <v>0.75</v>
      </c>
      <c r="C7" s="66"/>
      <c r="D7" s="66"/>
      <c r="E7" s="66"/>
      <c r="F7" s="66"/>
      <c r="G7" s="66"/>
      <c r="H7" s="66"/>
      <c r="I7" s="66"/>
      <c r="J7" s="66"/>
      <c r="K7" s="66"/>
      <c r="L7" s="66"/>
      <c r="M7" s="66"/>
      <c r="N7" s="66"/>
    </row>
    <row r="8" spans="1:14" ht="16.2" thickBot="1">
      <c r="A8" s="112" t="s">
        <v>391</v>
      </c>
      <c r="B8" s="115">
        <v>0.1</v>
      </c>
      <c r="C8" s="66"/>
      <c r="D8" s="66"/>
      <c r="E8" s="66"/>
      <c r="F8" s="66"/>
      <c r="G8" s="66"/>
      <c r="H8" s="66"/>
      <c r="I8" s="66"/>
      <c r="J8" s="66"/>
      <c r="K8" s="66"/>
      <c r="L8" s="66"/>
      <c r="M8" s="66"/>
      <c r="N8" s="66"/>
    </row>
    <row r="9" spans="1:14" ht="16.2" thickBot="1">
      <c r="A9" s="112" t="s">
        <v>392</v>
      </c>
      <c r="B9" s="114">
        <v>1.4999999999999999E-2</v>
      </c>
      <c r="C9" s="66"/>
      <c r="D9" s="66"/>
      <c r="E9" s="66"/>
      <c r="F9" s="66"/>
      <c r="G9" s="66"/>
      <c r="H9" s="66"/>
      <c r="I9" s="66"/>
      <c r="J9" s="66"/>
      <c r="K9" s="66"/>
      <c r="L9" s="66"/>
      <c r="M9" s="66"/>
      <c r="N9" s="66"/>
    </row>
    <row r="10" spans="1:14" ht="16.2" thickBot="1">
      <c r="A10" s="112" t="s">
        <v>393</v>
      </c>
      <c r="B10" s="114">
        <v>5.0000000000000001E-3</v>
      </c>
      <c r="C10" s="66"/>
      <c r="D10" s="66"/>
      <c r="E10" s="66"/>
      <c r="F10" s="66"/>
      <c r="G10" s="66"/>
      <c r="H10" s="66"/>
      <c r="I10" s="66"/>
      <c r="J10" s="66"/>
      <c r="K10" s="66"/>
      <c r="L10" s="66"/>
      <c r="M10" s="66"/>
      <c r="N10" s="66"/>
    </row>
    <row r="11" spans="1:14" ht="15.6">
      <c r="A11" s="117" t="s">
        <v>394</v>
      </c>
      <c r="B11" s="1149">
        <v>0.03</v>
      </c>
      <c r="C11" s="66"/>
      <c r="D11" s="66"/>
      <c r="E11" s="66"/>
      <c r="F11" s="66"/>
      <c r="G11" s="66"/>
      <c r="H11" s="66"/>
      <c r="I11" s="66"/>
      <c r="J11" s="66"/>
      <c r="K11" s="66"/>
      <c r="L11" s="66"/>
      <c r="M11" s="66"/>
      <c r="N11" s="66"/>
    </row>
    <row r="12" spans="1:14" ht="31.8" thickBot="1">
      <c r="A12" s="112" t="s">
        <v>395</v>
      </c>
      <c r="B12" s="1150"/>
      <c r="C12" s="66"/>
      <c r="D12" s="66"/>
      <c r="E12" s="66"/>
      <c r="F12" s="66"/>
      <c r="G12" s="66"/>
      <c r="H12" s="66"/>
      <c r="I12" s="66"/>
      <c r="J12" s="66"/>
      <c r="K12" s="66"/>
      <c r="L12" s="66"/>
      <c r="M12" s="66"/>
      <c r="N12" s="66"/>
    </row>
    <row r="13" spans="1:14" ht="47.4" thickBot="1">
      <c r="A13" s="112" t="s">
        <v>396</v>
      </c>
      <c r="B13" s="114">
        <v>2.5000000000000001E-2</v>
      </c>
      <c r="C13" s="66"/>
      <c r="D13" s="66"/>
      <c r="E13" s="66"/>
      <c r="F13" s="66"/>
      <c r="G13" s="66"/>
      <c r="H13" s="66"/>
      <c r="I13" s="66"/>
      <c r="J13" s="66"/>
      <c r="K13" s="66"/>
      <c r="L13" s="66"/>
      <c r="M13" s="66"/>
      <c r="N13" s="66"/>
    </row>
    <row r="14" spans="1:14" ht="16.2" thickBot="1">
      <c r="A14" s="112" t="s">
        <v>397</v>
      </c>
      <c r="B14" s="114">
        <v>0.04</v>
      </c>
      <c r="C14" s="66"/>
      <c r="D14" s="66"/>
      <c r="E14" s="66"/>
      <c r="F14" s="66"/>
      <c r="G14" s="66"/>
      <c r="H14" s="66"/>
      <c r="I14" s="66"/>
      <c r="J14" s="66"/>
      <c r="K14" s="66"/>
      <c r="L14" s="66"/>
      <c r="M14" s="66"/>
      <c r="N14" s="66"/>
    </row>
    <row r="15" spans="1:14" ht="63" thickBot="1">
      <c r="A15" s="112" t="s">
        <v>398</v>
      </c>
      <c r="B15" s="113" t="s">
        <v>399</v>
      </c>
      <c r="C15" s="66"/>
      <c r="D15" s="66"/>
      <c r="E15" s="66"/>
      <c r="F15" s="66"/>
      <c r="G15" s="66"/>
      <c r="H15" s="66"/>
      <c r="I15" s="66"/>
      <c r="J15" s="66"/>
      <c r="K15" s="66"/>
      <c r="L15" s="66"/>
      <c r="M15" s="66"/>
      <c r="N15" s="66"/>
    </row>
    <row r="16" spans="1:14" ht="15.6">
      <c r="A16" s="157"/>
      <c r="B16" s="66"/>
      <c r="C16" s="66"/>
      <c r="D16" s="66"/>
      <c r="E16" s="66"/>
      <c r="F16" s="66"/>
      <c r="G16" s="66"/>
      <c r="H16" s="66"/>
      <c r="I16" s="66"/>
      <c r="J16" s="66"/>
      <c r="K16" s="66"/>
      <c r="L16" s="66"/>
      <c r="M16" s="66"/>
      <c r="N16" s="66"/>
    </row>
    <row r="17" spans="1:14" ht="15.6">
      <c r="A17" s="157" t="s">
        <v>400</v>
      </c>
      <c r="B17" s="66"/>
      <c r="C17" s="66"/>
      <c r="D17" s="66"/>
      <c r="E17" s="66"/>
      <c r="F17" s="66"/>
      <c r="G17" s="66"/>
      <c r="H17" s="66"/>
      <c r="I17" s="66"/>
      <c r="J17" s="66"/>
      <c r="K17" s="66"/>
      <c r="L17" s="66"/>
      <c r="M17" s="66"/>
      <c r="N17" s="66"/>
    </row>
    <row r="18" spans="1:14" ht="16.2" thickBot="1">
      <c r="A18" s="157"/>
      <c r="B18" s="66"/>
      <c r="C18" s="66"/>
      <c r="D18" s="66"/>
      <c r="E18" s="66"/>
      <c r="F18" s="66"/>
      <c r="G18" s="66"/>
      <c r="H18" s="66"/>
      <c r="I18" s="66"/>
      <c r="J18" s="66"/>
      <c r="K18" s="66"/>
      <c r="L18" s="66"/>
      <c r="M18" s="66"/>
      <c r="N18" s="66"/>
    </row>
    <row r="19" spans="1:14" ht="16.2" thickBot="1">
      <c r="A19" s="181">
        <v>42735</v>
      </c>
      <c r="B19" s="111">
        <v>2252</v>
      </c>
      <c r="C19" s="66"/>
      <c r="D19" s="66"/>
      <c r="E19" s="66"/>
      <c r="F19" s="66"/>
      <c r="G19" s="66"/>
      <c r="H19" s="66"/>
      <c r="I19" s="66"/>
      <c r="J19" s="66"/>
      <c r="K19" s="66"/>
      <c r="L19" s="66"/>
      <c r="M19" s="66"/>
      <c r="N19" s="66"/>
    </row>
    <row r="20" spans="1:14" ht="16.2" thickBot="1">
      <c r="A20" s="182">
        <v>43100</v>
      </c>
      <c r="B20" s="183">
        <v>2684</v>
      </c>
      <c r="C20" s="66"/>
      <c r="D20" s="66"/>
      <c r="E20" s="66"/>
      <c r="F20" s="66"/>
      <c r="G20" s="66"/>
      <c r="H20" s="66"/>
      <c r="I20" s="66"/>
      <c r="J20" s="66"/>
      <c r="K20" s="66"/>
      <c r="L20" s="66"/>
      <c r="M20" s="66"/>
      <c r="N20" s="66"/>
    </row>
    <row r="21" spans="1:14" ht="16.2" thickBot="1">
      <c r="A21" s="182">
        <v>43465</v>
      </c>
      <c r="B21" s="183">
        <v>2791</v>
      </c>
      <c r="C21" s="66"/>
      <c r="D21" s="66"/>
      <c r="E21" s="66"/>
      <c r="F21" s="66"/>
      <c r="G21" s="66"/>
      <c r="H21" s="66"/>
      <c r="I21" s="66"/>
      <c r="J21" s="66"/>
      <c r="K21" s="66"/>
      <c r="L21" s="66"/>
      <c r="M21" s="66"/>
      <c r="N21" s="66"/>
    </row>
    <row r="22" spans="1:14" ht="16.2" thickBot="1">
      <c r="A22" s="182">
        <v>43830</v>
      </c>
      <c r="B22" s="183">
        <v>3231</v>
      </c>
      <c r="C22" s="66"/>
      <c r="D22" s="66"/>
      <c r="E22" s="66"/>
      <c r="F22" s="66"/>
      <c r="G22" s="66"/>
      <c r="H22" s="66"/>
      <c r="I22" s="66"/>
      <c r="J22" s="66"/>
      <c r="K22" s="66"/>
      <c r="L22" s="66"/>
      <c r="M22" s="66"/>
      <c r="N22" s="66"/>
    </row>
    <row r="23" spans="1:14" ht="16.2" thickBot="1">
      <c r="A23" s="112" t="s">
        <v>401</v>
      </c>
      <c r="B23" s="183">
        <v>3248</v>
      </c>
      <c r="C23" s="66"/>
      <c r="D23" s="66"/>
      <c r="E23" s="66"/>
      <c r="F23" s="66"/>
      <c r="G23" s="66"/>
      <c r="H23" s="66"/>
      <c r="I23" s="66"/>
      <c r="J23" s="66"/>
      <c r="K23" s="66"/>
      <c r="L23" s="66"/>
      <c r="M23" s="66"/>
      <c r="N23" s="66"/>
    </row>
    <row r="24" spans="1:14" ht="16.2" thickBot="1">
      <c r="A24" s="112" t="s">
        <v>402</v>
      </c>
      <c r="B24" s="183">
        <v>2245</v>
      </c>
      <c r="C24" s="66"/>
      <c r="D24" s="66"/>
      <c r="E24" s="66"/>
      <c r="F24" s="66"/>
      <c r="G24" s="66"/>
      <c r="H24" s="66"/>
      <c r="I24" s="66"/>
      <c r="J24" s="66"/>
      <c r="K24" s="66"/>
      <c r="L24" s="66"/>
      <c r="M24" s="66"/>
      <c r="N24" s="66"/>
    </row>
    <row r="25" spans="1:14">
      <c r="A25" s="66"/>
      <c r="B25" s="66"/>
      <c r="C25" s="66"/>
      <c r="D25" s="66"/>
      <c r="E25" s="66"/>
      <c r="F25" s="66"/>
      <c r="G25" s="66"/>
      <c r="H25" s="66"/>
      <c r="I25" s="66"/>
      <c r="J25" s="66"/>
      <c r="K25" s="66"/>
      <c r="L25" s="66"/>
      <c r="M25" s="66"/>
      <c r="N25" s="66"/>
    </row>
    <row r="26" spans="1:14" ht="15.6">
      <c r="A26" s="157" t="s">
        <v>403</v>
      </c>
      <c r="B26" s="66"/>
      <c r="C26" s="66"/>
      <c r="D26" s="66"/>
      <c r="E26" s="66"/>
      <c r="F26" s="66"/>
      <c r="G26" s="66"/>
      <c r="H26" s="66"/>
      <c r="I26" s="66"/>
      <c r="J26" s="66"/>
      <c r="K26" s="66"/>
      <c r="L26" s="66"/>
      <c r="M26" s="66"/>
      <c r="N26" s="66"/>
    </row>
    <row r="27" spans="1:14" ht="15.6">
      <c r="A27" s="157"/>
      <c r="B27" s="66"/>
      <c r="C27" s="66"/>
      <c r="D27" s="66"/>
      <c r="E27" s="66"/>
      <c r="F27" s="66"/>
      <c r="G27" s="66"/>
      <c r="H27" s="66"/>
      <c r="I27" s="66"/>
      <c r="J27" s="66"/>
      <c r="K27" s="66"/>
      <c r="L27" s="66"/>
      <c r="M27" s="66"/>
      <c r="N27" s="66"/>
    </row>
    <row r="28" spans="1:14" ht="15.6">
      <c r="A28" s="166" t="s">
        <v>404</v>
      </c>
      <c r="B28" s="66"/>
      <c r="C28" s="66"/>
      <c r="D28" s="66"/>
      <c r="E28" s="66"/>
      <c r="F28" s="66"/>
      <c r="G28" s="66"/>
      <c r="H28" s="66"/>
      <c r="I28" s="66"/>
      <c r="J28" s="66"/>
      <c r="K28" s="66"/>
      <c r="L28" s="66"/>
      <c r="M28" s="66"/>
      <c r="N28" s="66"/>
    </row>
    <row r="29" spans="1:14" ht="15.6">
      <c r="A29" s="104" t="s">
        <v>24</v>
      </c>
    </row>
    <row r="30" spans="1:14">
      <c r="A30" s="85"/>
    </row>
  </sheetData>
  <mergeCells count="1">
    <mergeCell ref="B11:B12"/>
  </mergeCells>
  <pageMargins left="0.7" right="0.7" top="0.75" bottom="0.75" header="0.3" footer="0.3"/>
  <pageSetup orientation="portrait" verticalDpi="9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A635A-611D-4958-82BA-A031D04515A4}">
  <sheetPr codeName="Sheet43"/>
  <dimension ref="A1:N30"/>
  <sheetViews>
    <sheetView topLeftCell="A14" workbookViewId="0"/>
  </sheetViews>
  <sheetFormatPr defaultColWidth="9.21875" defaultRowHeight="14.4"/>
  <cols>
    <col min="1" max="1" width="46.5546875" style="67" customWidth="1"/>
    <col min="2" max="4" width="14.44140625" style="67" customWidth="1"/>
    <col min="5" max="16384" width="9.21875" style="67"/>
  </cols>
  <sheetData>
    <row r="1" spans="1:14" ht="17.399999999999999">
      <c r="A1" s="65" t="s">
        <v>72</v>
      </c>
      <c r="B1" s="66"/>
      <c r="C1" s="66"/>
      <c r="D1" s="66"/>
      <c r="E1" s="66"/>
      <c r="F1" s="66"/>
      <c r="G1" s="66"/>
      <c r="H1" s="66"/>
      <c r="I1" s="66"/>
      <c r="J1" s="66"/>
      <c r="K1" s="66"/>
      <c r="L1" s="66"/>
      <c r="M1" s="66"/>
      <c r="N1" s="66"/>
    </row>
    <row r="2" spans="1:14" ht="15.6">
      <c r="A2" s="68" t="s">
        <v>387</v>
      </c>
      <c r="B2" s="66"/>
      <c r="C2" s="66"/>
      <c r="D2" s="66"/>
      <c r="E2" s="66"/>
      <c r="F2" s="66"/>
      <c r="G2" s="66"/>
      <c r="H2" s="66"/>
      <c r="I2" s="66"/>
      <c r="J2" s="66"/>
      <c r="K2" s="66"/>
      <c r="L2" s="66"/>
      <c r="M2" s="66"/>
      <c r="N2" s="66"/>
    </row>
    <row r="3" spans="1:14" ht="15.6">
      <c r="A3" s="68" t="s">
        <v>388</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157" t="s">
        <v>389</v>
      </c>
      <c r="B5" s="66"/>
      <c r="C5" s="66"/>
      <c r="D5" s="66"/>
      <c r="E5" s="66"/>
      <c r="F5" s="66"/>
      <c r="G5" s="66"/>
      <c r="H5" s="66"/>
      <c r="I5" s="66"/>
      <c r="J5" s="66"/>
      <c r="K5" s="66"/>
      <c r="L5" s="66"/>
      <c r="M5" s="66"/>
      <c r="N5" s="66"/>
    </row>
    <row r="6" spans="1:14" ht="16.2" thickBot="1">
      <c r="A6" s="70"/>
      <c r="B6" s="66"/>
      <c r="C6" s="66"/>
      <c r="D6" s="66"/>
      <c r="E6" s="66"/>
      <c r="F6" s="66"/>
      <c r="G6" s="66"/>
      <c r="H6" s="66"/>
      <c r="I6" s="66"/>
      <c r="J6" s="66"/>
      <c r="K6" s="66"/>
      <c r="L6" s="66"/>
      <c r="M6" s="66"/>
      <c r="N6" s="66"/>
    </row>
    <row r="7" spans="1:14" ht="16.2" thickBot="1">
      <c r="A7" s="110" t="s">
        <v>390</v>
      </c>
      <c r="B7" s="180">
        <v>0.75</v>
      </c>
      <c r="C7" s="66"/>
      <c r="D7" s="66"/>
      <c r="E7" s="66"/>
      <c r="F7" s="66"/>
      <c r="G7" s="66"/>
      <c r="H7" s="66"/>
      <c r="I7" s="66"/>
      <c r="J7" s="66"/>
      <c r="K7" s="66"/>
      <c r="L7" s="66"/>
      <c r="M7" s="66"/>
      <c r="N7" s="66"/>
    </row>
    <row r="8" spans="1:14" ht="16.2" thickBot="1">
      <c r="A8" s="112" t="s">
        <v>391</v>
      </c>
      <c r="B8" s="115">
        <v>0.1</v>
      </c>
      <c r="C8" s="66"/>
      <c r="D8" s="66"/>
      <c r="E8" s="66"/>
      <c r="F8" s="66"/>
      <c r="G8" s="66"/>
      <c r="H8" s="66"/>
      <c r="I8" s="66"/>
      <c r="J8" s="66"/>
      <c r="K8" s="66"/>
      <c r="L8" s="66"/>
      <c r="M8" s="66"/>
      <c r="N8" s="66"/>
    </row>
    <row r="9" spans="1:14" ht="16.2" thickBot="1">
      <c r="A9" s="112" t="s">
        <v>392</v>
      </c>
      <c r="B9" s="114">
        <v>1.4999999999999999E-2</v>
      </c>
      <c r="C9" s="66"/>
      <c r="D9" s="66"/>
      <c r="E9" s="66"/>
      <c r="F9" s="66"/>
      <c r="G9" s="66"/>
      <c r="H9" s="66"/>
      <c r="I9" s="66"/>
      <c r="J9" s="66"/>
      <c r="K9" s="66"/>
      <c r="L9" s="66"/>
      <c r="M9" s="66"/>
      <c r="N9" s="66"/>
    </row>
    <row r="10" spans="1:14" ht="16.2" thickBot="1">
      <c r="A10" s="112" t="s">
        <v>393</v>
      </c>
      <c r="B10" s="114">
        <v>5.0000000000000001E-3</v>
      </c>
      <c r="C10" s="66"/>
      <c r="D10" s="66"/>
      <c r="E10" s="66"/>
      <c r="F10" s="66"/>
      <c r="G10" s="66"/>
      <c r="H10" s="66"/>
      <c r="I10" s="66"/>
      <c r="J10" s="66"/>
      <c r="K10" s="66"/>
      <c r="L10" s="66"/>
      <c r="M10" s="66"/>
      <c r="N10" s="66"/>
    </row>
    <row r="11" spans="1:14" ht="15.6">
      <c r="A11" s="117" t="s">
        <v>394</v>
      </c>
      <c r="B11" s="1149">
        <v>0.03</v>
      </c>
      <c r="C11" s="66"/>
      <c r="D11" s="66"/>
      <c r="E11" s="66"/>
      <c r="F11" s="66"/>
      <c r="G11" s="66"/>
      <c r="H11" s="66"/>
      <c r="I11" s="66"/>
      <c r="J11" s="66"/>
      <c r="K11" s="66"/>
      <c r="L11" s="66"/>
      <c r="M11" s="66"/>
      <c r="N11" s="66"/>
    </row>
    <row r="12" spans="1:14" ht="31.8" thickBot="1">
      <c r="A12" s="112" t="s">
        <v>395</v>
      </c>
      <c r="B12" s="1150"/>
      <c r="C12" s="66"/>
      <c r="D12" s="66"/>
      <c r="E12" s="66"/>
      <c r="F12" s="66"/>
      <c r="G12" s="66"/>
      <c r="H12" s="66"/>
      <c r="I12" s="66"/>
      <c r="J12" s="66"/>
      <c r="K12" s="66"/>
      <c r="L12" s="66"/>
      <c r="M12" s="66"/>
      <c r="N12" s="66"/>
    </row>
    <row r="13" spans="1:14" ht="47.4" thickBot="1">
      <c r="A13" s="112" t="s">
        <v>396</v>
      </c>
      <c r="B13" s="114">
        <v>2.5000000000000001E-2</v>
      </c>
      <c r="C13" s="66"/>
      <c r="D13" s="66"/>
      <c r="E13" s="66"/>
      <c r="F13" s="66"/>
      <c r="G13" s="66"/>
      <c r="H13" s="66"/>
      <c r="I13" s="66"/>
      <c r="J13" s="66"/>
      <c r="K13" s="66"/>
      <c r="L13" s="66"/>
      <c r="M13" s="66"/>
      <c r="N13" s="66"/>
    </row>
    <row r="14" spans="1:14" ht="16.2" thickBot="1">
      <c r="A14" s="112" t="s">
        <v>397</v>
      </c>
      <c r="B14" s="114">
        <v>0.04</v>
      </c>
      <c r="C14" s="66"/>
      <c r="D14" s="66"/>
      <c r="E14" s="66"/>
      <c r="F14" s="66"/>
      <c r="G14" s="66"/>
      <c r="H14" s="66"/>
      <c r="I14" s="66"/>
      <c r="J14" s="66"/>
      <c r="K14" s="66"/>
      <c r="L14" s="66"/>
      <c r="M14" s="66"/>
      <c r="N14" s="66"/>
    </row>
    <row r="15" spans="1:14" ht="63" thickBot="1">
      <c r="A15" s="112" t="s">
        <v>398</v>
      </c>
      <c r="B15" s="113" t="s">
        <v>399</v>
      </c>
      <c r="C15" s="66"/>
      <c r="D15" s="66"/>
      <c r="E15" s="66"/>
      <c r="F15" s="66"/>
      <c r="G15" s="66"/>
      <c r="H15" s="66"/>
      <c r="I15" s="66"/>
      <c r="J15" s="66"/>
      <c r="K15" s="66"/>
      <c r="L15" s="66"/>
      <c r="M15" s="66"/>
      <c r="N15" s="66"/>
    </row>
    <row r="16" spans="1:14" ht="15.6">
      <c r="A16" s="157"/>
      <c r="B16" s="66"/>
      <c r="C16" s="66"/>
      <c r="D16" s="66"/>
      <c r="E16" s="66"/>
      <c r="F16" s="66"/>
      <c r="G16" s="66"/>
      <c r="H16" s="66"/>
      <c r="I16" s="66"/>
      <c r="J16" s="66"/>
      <c r="K16" s="66"/>
      <c r="L16" s="66"/>
      <c r="M16" s="66"/>
      <c r="N16" s="66"/>
    </row>
    <row r="17" spans="1:14" ht="15.6">
      <c r="A17" s="157" t="s">
        <v>400</v>
      </c>
      <c r="B17" s="66"/>
      <c r="C17" s="66"/>
      <c r="D17" s="66"/>
      <c r="E17" s="66"/>
      <c r="F17" s="66"/>
      <c r="G17" s="66"/>
      <c r="H17" s="66"/>
      <c r="I17" s="66"/>
      <c r="J17" s="66"/>
      <c r="K17" s="66"/>
      <c r="L17" s="66"/>
      <c r="M17" s="66"/>
      <c r="N17" s="66"/>
    </row>
    <row r="18" spans="1:14" ht="16.2" thickBot="1">
      <c r="A18" s="157"/>
      <c r="B18" s="66"/>
      <c r="C18" s="66"/>
      <c r="D18" s="66"/>
      <c r="E18" s="66"/>
      <c r="F18" s="66"/>
      <c r="G18" s="66"/>
      <c r="H18" s="66"/>
      <c r="I18" s="66"/>
      <c r="J18" s="66"/>
      <c r="K18" s="66"/>
      <c r="L18" s="66"/>
      <c r="M18" s="66"/>
      <c r="N18" s="66"/>
    </row>
    <row r="19" spans="1:14" ht="16.2" thickBot="1">
      <c r="A19" s="181">
        <v>42735</v>
      </c>
      <c r="B19" s="111">
        <v>2252</v>
      </c>
      <c r="C19" s="66"/>
      <c r="D19" s="66"/>
      <c r="E19" s="66"/>
      <c r="F19" s="66"/>
      <c r="G19" s="66"/>
      <c r="H19" s="66"/>
      <c r="I19" s="66"/>
      <c r="J19" s="66"/>
      <c r="K19" s="66"/>
      <c r="L19" s="66"/>
      <c r="M19" s="66"/>
      <c r="N19" s="66"/>
    </row>
    <row r="20" spans="1:14" ht="16.2" thickBot="1">
      <c r="A20" s="182">
        <v>43100</v>
      </c>
      <c r="B20" s="183">
        <v>2684</v>
      </c>
      <c r="C20" s="66"/>
      <c r="D20" s="66"/>
      <c r="E20" s="66"/>
      <c r="F20" s="66"/>
      <c r="G20" s="66"/>
      <c r="H20" s="66"/>
      <c r="I20" s="66"/>
      <c r="J20" s="66"/>
      <c r="K20" s="66"/>
      <c r="L20" s="66"/>
      <c r="M20" s="66"/>
      <c r="N20" s="66"/>
    </row>
    <row r="21" spans="1:14" ht="16.2" thickBot="1">
      <c r="A21" s="182">
        <v>43465</v>
      </c>
      <c r="B21" s="183">
        <v>2791</v>
      </c>
      <c r="C21" s="66"/>
      <c r="D21" s="66"/>
      <c r="E21" s="66"/>
      <c r="F21" s="66"/>
      <c r="G21" s="66"/>
      <c r="H21" s="66"/>
      <c r="I21" s="66"/>
      <c r="J21" s="66"/>
      <c r="K21" s="66"/>
      <c r="L21" s="66"/>
      <c r="M21" s="66"/>
      <c r="N21" s="66"/>
    </row>
    <row r="22" spans="1:14" ht="16.2" thickBot="1">
      <c r="A22" s="182">
        <v>43830</v>
      </c>
      <c r="B22" s="183">
        <v>3231</v>
      </c>
      <c r="C22" s="66"/>
      <c r="D22" s="66"/>
      <c r="E22" s="66"/>
      <c r="F22" s="66"/>
      <c r="G22" s="66"/>
      <c r="H22" s="66"/>
      <c r="I22" s="66"/>
      <c r="J22" s="66"/>
      <c r="K22" s="66"/>
      <c r="L22" s="66"/>
      <c r="M22" s="66"/>
      <c r="N22" s="66"/>
    </row>
    <row r="23" spans="1:14" ht="16.2" thickBot="1">
      <c r="A23" s="112" t="s">
        <v>401</v>
      </c>
      <c r="B23" s="183">
        <v>3248</v>
      </c>
      <c r="C23" s="66"/>
      <c r="D23" s="66"/>
      <c r="E23" s="66"/>
      <c r="F23" s="66"/>
      <c r="G23" s="66"/>
      <c r="H23" s="66"/>
      <c r="I23" s="66"/>
      <c r="J23" s="66"/>
      <c r="K23" s="66"/>
      <c r="L23" s="66"/>
      <c r="M23" s="66"/>
      <c r="N23" s="66"/>
    </row>
    <row r="24" spans="1:14" ht="16.2" thickBot="1">
      <c r="A24" s="112" t="s">
        <v>402</v>
      </c>
      <c r="B24" s="183">
        <v>2245</v>
      </c>
      <c r="C24" s="66"/>
      <c r="D24" s="66"/>
      <c r="E24" s="66"/>
      <c r="F24" s="66"/>
      <c r="G24" s="66"/>
      <c r="H24" s="66"/>
      <c r="I24" s="66"/>
      <c r="J24" s="66"/>
      <c r="K24" s="66"/>
      <c r="L24" s="66"/>
      <c r="M24" s="66"/>
      <c r="N24" s="66"/>
    </row>
    <row r="25" spans="1:14">
      <c r="A25" s="66"/>
      <c r="B25" s="66"/>
      <c r="C25" s="66"/>
      <c r="D25" s="66"/>
      <c r="E25" s="66"/>
      <c r="F25" s="66"/>
      <c r="G25" s="66"/>
      <c r="H25" s="66"/>
      <c r="I25" s="66"/>
      <c r="J25" s="66"/>
      <c r="K25" s="66"/>
      <c r="L25" s="66"/>
      <c r="M25" s="66"/>
      <c r="N25" s="66"/>
    </row>
    <row r="26" spans="1:14" ht="15.6">
      <c r="A26" s="157" t="s">
        <v>403</v>
      </c>
      <c r="B26" s="66"/>
      <c r="C26" s="66"/>
      <c r="D26" s="66"/>
      <c r="E26" s="66"/>
      <c r="F26" s="66"/>
      <c r="G26" s="66"/>
      <c r="H26" s="66"/>
      <c r="I26" s="66"/>
      <c r="J26" s="66"/>
      <c r="K26" s="66"/>
      <c r="L26" s="66"/>
      <c r="M26" s="66"/>
      <c r="N26" s="66"/>
    </row>
    <row r="27" spans="1:14" ht="15.6">
      <c r="A27" s="157"/>
      <c r="B27" s="66"/>
      <c r="C27" s="66"/>
      <c r="D27" s="66"/>
      <c r="E27" s="66"/>
      <c r="F27" s="66"/>
      <c r="G27" s="66"/>
      <c r="H27" s="66"/>
      <c r="I27" s="66"/>
      <c r="J27" s="66"/>
      <c r="K27" s="66"/>
      <c r="L27" s="66"/>
      <c r="M27" s="66"/>
      <c r="N27" s="66"/>
    </row>
    <row r="28" spans="1:14" ht="15.6">
      <c r="A28" s="166" t="s">
        <v>405</v>
      </c>
      <c r="B28" s="66"/>
      <c r="C28" s="66"/>
      <c r="D28" s="66"/>
      <c r="E28" s="66"/>
      <c r="F28" s="66"/>
      <c r="G28" s="66"/>
      <c r="H28" s="66"/>
      <c r="I28" s="66"/>
      <c r="J28" s="66"/>
      <c r="K28" s="66"/>
      <c r="L28" s="66"/>
      <c r="M28" s="66"/>
      <c r="N28" s="66"/>
    </row>
    <row r="29" spans="1:14" ht="15.6">
      <c r="A29" s="104" t="s">
        <v>24</v>
      </c>
    </row>
    <row r="30" spans="1:14">
      <c r="A30" s="85"/>
    </row>
  </sheetData>
  <mergeCells count="1">
    <mergeCell ref="B11:B12"/>
  </mergeCells>
  <pageMargins left="0.7" right="0.7" top="0.75" bottom="0.75" header="0.3" footer="0.3"/>
  <pageSetup orientation="portrait" verticalDpi="9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94A22-0A19-4664-9F96-ED3170B319BF}">
  <sheetPr codeName="Sheet44"/>
  <dimension ref="A1:N30"/>
  <sheetViews>
    <sheetView topLeftCell="A27" workbookViewId="0"/>
  </sheetViews>
  <sheetFormatPr defaultColWidth="9.21875" defaultRowHeight="14.4"/>
  <cols>
    <col min="1" max="1" width="46.5546875" style="67" customWidth="1"/>
    <col min="2" max="4" width="14.44140625" style="67" customWidth="1"/>
    <col min="5" max="16384" width="9.21875" style="67"/>
  </cols>
  <sheetData>
    <row r="1" spans="1:14" ht="17.399999999999999">
      <c r="A1" s="65" t="s">
        <v>72</v>
      </c>
      <c r="B1" s="66"/>
      <c r="C1" s="66"/>
      <c r="D1" s="66"/>
      <c r="E1" s="66"/>
      <c r="F1" s="66"/>
      <c r="G1" s="66"/>
      <c r="H1" s="66"/>
      <c r="I1" s="66"/>
      <c r="J1" s="66"/>
      <c r="K1" s="66"/>
      <c r="L1" s="66"/>
      <c r="M1" s="66"/>
      <c r="N1" s="66"/>
    </row>
    <row r="2" spans="1:14" ht="15.6">
      <c r="A2" s="68" t="s">
        <v>387</v>
      </c>
      <c r="B2" s="66"/>
      <c r="C2" s="66"/>
      <c r="D2" s="66"/>
      <c r="E2" s="66"/>
      <c r="F2" s="66"/>
      <c r="G2" s="66"/>
      <c r="H2" s="66"/>
      <c r="I2" s="66"/>
      <c r="J2" s="66"/>
      <c r="K2" s="66"/>
      <c r="L2" s="66"/>
      <c r="M2" s="66"/>
      <c r="N2" s="66"/>
    </row>
    <row r="3" spans="1:14" ht="15.6">
      <c r="A3" s="68" t="s">
        <v>388</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157" t="s">
        <v>389</v>
      </c>
      <c r="B5" s="66"/>
      <c r="C5" s="66"/>
      <c r="D5" s="66"/>
      <c r="E5" s="66"/>
      <c r="F5" s="66"/>
      <c r="G5" s="66"/>
      <c r="H5" s="66"/>
      <c r="I5" s="66"/>
      <c r="J5" s="66"/>
      <c r="K5" s="66"/>
      <c r="L5" s="66"/>
      <c r="M5" s="66"/>
      <c r="N5" s="66"/>
    </row>
    <row r="6" spans="1:14" ht="16.2" thickBot="1">
      <c r="A6" s="70"/>
      <c r="B6" s="66"/>
      <c r="C6" s="66"/>
      <c r="D6" s="66"/>
      <c r="E6" s="66"/>
      <c r="F6" s="66"/>
      <c r="G6" s="66"/>
      <c r="H6" s="66"/>
      <c r="I6" s="66"/>
      <c r="J6" s="66"/>
      <c r="K6" s="66"/>
      <c r="L6" s="66"/>
      <c r="M6" s="66"/>
      <c r="N6" s="66"/>
    </row>
    <row r="7" spans="1:14" ht="16.2" thickBot="1">
      <c r="A7" s="110" t="s">
        <v>390</v>
      </c>
      <c r="B7" s="180">
        <v>0.75</v>
      </c>
      <c r="C7" s="66"/>
      <c r="D7" s="66"/>
      <c r="E7" s="66"/>
      <c r="F7" s="66"/>
      <c r="G7" s="66"/>
      <c r="H7" s="66"/>
      <c r="I7" s="66"/>
      <c r="J7" s="66"/>
      <c r="K7" s="66"/>
      <c r="L7" s="66"/>
      <c r="M7" s="66"/>
      <c r="N7" s="66"/>
    </row>
    <row r="8" spans="1:14" ht="16.2" thickBot="1">
      <c r="A8" s="112" t="s">
        <v>391</v>
      </c>
      <c r="B8" s="115">
        <v>0.1</v>
      </c>
      <c r="C8" s="66"/>
      <c r="D8" s="66"/>
      <c r="E8" s="66"/>
      <c r="F8" s="66"/>
      <c r="G8" s="66"/>
      <c r="H8" s="66"/>
      <c r="I8" s="66"/>
      <c r="J8" s="66"/>
      <c r="K8" s="66"/>
      <c r="L8" s="66"/>
      <c r="M8" s="66"/>
      <c r="N8" s="66"/>
    </row>
    <row r="9" spans="1:14" ht="16.2" thickBot="1">
      <c r="A9" s="112" t="s">
        <v>392</v>
      </c>
      <c r="B9" s="114">
        <v>1.4999999999999999E-2</v>
      </c>
      <c r="C9" s="66"/>
      <c r="D9" s="66"/>
      <c r="E9" s="66"/>
      <c r="F9" s="66"/>
      <c r="G9" s="66"/>
      <c r="H9" s="66"/>
      <c r="I9" s="66"/>
      <c r="J9" s="66"/>
      <c r="K9" s="66"/>
      <c r="L9" s="66"/>
      <c r="M9" s="66"/>
      <c r="N9" s="66"/>
    </row>
    <row r="10" spans="1:14" ht="16.2" thickBot="1">
      <c r="A10" s="112" t="s">
        <v>393</v>
      </c>
      <c r="B10" s="114">
        <v>5.0000000000000001E-3</v>
      </c>
      <c r="C10" s="66"/>
      <c r="D10" s="66"/>
      <c r="E10" s="66"/>
      <c r="F10" s="66"/>
      <c r="G10" s="66"/>
      <c r="H10" s="66"/>
      <c r="I10" s="66"/>
      <c r="J10" s="66"/>
      <c r="K10" s="66"/>
      <c r="L10" s="66"/>
      <c r="M10" s="66"/>
      <c r="N10" s="66"/>
    </row>
    <row r="11" spans="1:14" ht="15.6">
      <c r="A11" s="117" t="s">
        <v>394</v>
      </c>
      <c r="B11" s="1149">
        <v>0.03</v>
      </c>
      <c r="C11" s="66"/>
      <c r="D11" s="66"/>
      <c r="E11" s="66"/>
      <c r="F11" s="66"/>
      <c r="G11" s="66"/>
      <c r="H11" s="66"/>
      <c r="I11" s="66"/>
      <c r="J11" s="66"/>
      <c r="K11" s="66"/>
      <c r="L11" s="66"/>
      <c r="M11" s="66"/>
      <c r="N11" s="66"/>
    </row>
    <row r="12" spans="1:14" ht="31.8" thickBot="1">
      <c r="A12" s="112" t="s">
        <v>395</v>
      </c>
      <c r="B12" s="1150"/>
      <c r="C12" s="66"/>
      <c r="D12" s="66"/>
      <c r="E12" s="66"/>
      <c r="F12" s="66"/>
      <c r="G12" s="66"/>
      <c r="H12" s="66"/>
      <c r="I12" s="66"/>
      <c r="J12" s="66"/>
      <c r="K12" s="66"/>
      <c r="L12" s="66"/>
      <c r="M12" s="66"/>
      <c r="N12" s="66"/>
    </row>
    <row r="13" spans="1:14" ht="47.4" thickBot="1">
      <c r="A13" s="112" t="s">
        <v>396</v>
      </c>
      <c r="B13" s="114">
        <v>2.5000000000000001E-2</v>
      </c>
      <c r="C13" s="66"/>
      <c r="D13" s="66"/>
      <c r="E13" s="66"/>
      <c r="F13" s="66"/>
      <c r="G13" s="66"/>
      <c r="H13" s="66"/>
      <c r="I13" s="66"/>
      <c r="J13" s="66"/>
      <c r="K13" s="66"/>
      <c r="L13" s="66"/>
      <c r="M13" s="66"/>
      <c r="N13" s="66"/>
    </row>
    <row r="14" spans="1:14" ht="16.2" thickBot="1">
      <c r="A14" s="112" t="s">
        <v>397</v>
      </c>
      <c r="B14" s="114">
        <v>0.04</v>
      </c>
      <c r="C14" s="66"/>
      <c r="D14" s="66"/>
      <c r="E14" s="66"/>
      <c r="F14" s="66"/>
      <c r="G14" s="66"/>
      <c r="H14" s="66"/>
      <c r="I14" s="66"/>
      <c r="J14" s="66"/>
      <c r="K14" s="66"/>
      <c r="L14" s="66"/>
      <c r="M14" s="66"/>
      <c r="N14" s="66"/>
    </row>
    <row r="15" spans="1:14" ht="63" thickBot="1">
      <c r="A15" s="112" t="s">
        <v>398</v>
      </c>
      <c r="B15" s="113" t="s">
        <v>399</v>
      </c>
      <c r="C15" s="66"/>
      <c r="D15" s="66"/>
      <c r="E15" s="66"/>
      <c r="F15" s="66"/>
      <c r="G15" s="66"/>
      <c r="H15" s="66"/>
      <c r="I15" s="66"/>
      <c r="J15" s="66"/>
      <c r="K15" s="66"/>
      <c r="L15" s="66"/>
      <c r="M15" s="66"/>
      <c r="N15" s="66"/>
    </row>
    <row r="16" spans="1:14" ht="15.6">
      <c r="A16" s="157"/>
      <c r="B16" s="66"/>
      <c r="C16" s="66"/>
      <c r="D16" s="66"/>
      <c r="E16" s="66"/>
      <c r="F16" s="66"/>
      <c r="G16" s="66"/>
      <c r="H16" s="66"/>
      <c r="I16" s="66"/>
      <c r="J16" s="66"/>
      <c r="K16" s="66"/>
      <c r="L16" s="66"/>
      <c r="M16" s="66"/>
      <c r="N16" s="66"/>
    </row>
    <row r="17" spans="1:14" ht="15.6">
      <c r="A17" s="157" t="s">
        <v>400</v>
      </c>
      <c r="B17" s="66"/>
      <c r="C17" s="66"/>
      <c r="D17" s="66"/>
      <c r="E17" s="66"/>
      <c r="F17" s="66"/>
      <c r="G17" s="66"/>
      <c r="H17" s="66"/>
      <c r="I17" s="66"/>
      <c r="J17" s="66"/>
      <c r="K17" s="66"/>
      <c r="L17" s="66"/>
      <c r="M17" s="66"/>
      <c r="N17" s="66"/>
    </row>
    <row r="18" spans="1:14" ht="16.2" thickBot="1">
      <c r="A18" s="157"/>
      <c r="B18" s="66"/>
      <c r="C18" s="66"/>
      <c r="D18" s="66"/>
      <c r="E18" s="66"/>
      <c r="F18" s="66"/>
      <c r="G18" s="66"/>
      <c r="H18" s="66"/>
      <c r="I18" s="66"/>
      <c r="J18" s="66"/>
      <c r="K18" s="66"/>
      <c r="L18" s="66"/>
      <c r="M18" s="66"/>
      <c r="N18" s="66"/>
    </row>
    <row r="19" spans="1:14" ht="16.2" thickBot="1">
      <c r="A19" s="181">
        <v>42735</v>
      </c>
      <c r="B19" s="111">
        <v>2252</v>
      </c>
      <c r="C19" s="66"/>
      <c r="D19" s="66"/>
      <c r="E19" s="66"/>
      <c r="F19" s="66"/>
      <c r="G19" s="66"/>
      <c r="H19" s="66"/>
      <c r="I19" s="66"/>
      <c r="J19" s="66"/>
      <c r="K19" s="66"/>
      <c r="L19" s="66"/>
      <c r="M19" s="66"/>
      <c r="N19" s="66"/>
    </row>
    <row r="20" spans="1:14" ht="16.2" thickBot="1">
      <c r="A20" s="182">
        <v>43100</v>
      </c>
      <c r="B20" s="183">
        <v>2684</v>
      </c>
      <c r="C20" s="66"/>
      <c r="D20" s="66"/>
      <c r="E20" s="66"/>
      <c r="F20" s="66"/>
      <c r="G20" s="66"/>
      <c r="H20" s="66"/>
      <c r="I20" s="66"/>
      <c r="J20" s="66"/>
      <c r="K20" s="66"/>
      <c r="L20" s="66"/>
      <c r="M20" s="66"/>
      <c r="N20" s="66"/>
    </row>
    <row r="21" spans="1:14" ht="16.2" thickBot="1">
      <c r="A21" s="182">
        <v>43465</v>
      </c>
      <c r="B21" s="183">
        <v>2791</v>
      </c>
      <c r="C21" s="66"/>
      <c r="D21" s="66"/>
      <c r="E21" s="66"/>
      <c r="F21" s="66"/>
      <c r="G21" s="66"/>
      <c r="H21" s="66"/>
      <c r="I21" s="66"/>
      <c r="J21" s="66"/>
      <c r="K21" s="66"/>
      <c r="L21" s="66"/>
      <c r="M21" s="66"/>
      <c r="N21" s="66"/>
    </row>
    <row r="22" spans="1:14" ht="16.2" thickBot="1">
      <c r="A22" s="182">
        <v>43830</v>
      </c>
      <c r="B22" s="183">
        <v>3231</v>
      </c>
      <c r="C22" s="66"/>
      <c r="D22" s="66"/>
      <c r="E22" s="66"/>
      <c r="F22" s="66"/>
      <c r="G22" s="66"/>
      <c r="H22" s="66"/>
      <c r="I22" s="66"/>
      <c r="J22" s="66"/>
      <c r="K22" s="66"/>
      <c r="L22" s="66"/>
      <c r="M22" s="66"/>
      <c r="N22" s="66"/>
    </row>
    <row r="23" spans="1:14" ht="16.2" thickBot="1">
      <c r="A23" s="112" t="s">
        <v>401</v>
      </c>
      <c r="B23" s="183">
        <v>3248</v>
      </c>
      <c r="C23" s="66"/>
      <c r="D23" s="66"/>
      <c r="E23" s="66"/>
      <c r="F23" s="66"/>
      <c r="G23" s="66"/>
      <c r="H23" s="66"/>
      <c r="I23" s="66"/>
      <c r="J23" s="66"/>
      <c r="K23" s="66"/>
      <c r="L23" s="66"/>
      <c r="M23" s="66"/>
      <c r="N23" s="66"/>
    </row>
    <row r="24" spans="1:14" ht="16.2" thickBot="1">
      <c r="A24" s="112" t="s">
        <v>402</v>
      </c>
      <c r="B24" s="183">
        <v>2245</v>
      </c>
      <c r="C24" s="66"/>
      <c r="D24" s="66"/>
      <c r="E24" s="66"/>
      <c r="F24" s="66"/>
      <c r="G24" s="66"/>
      <c r="H24" s="66"/>
      <c r="I24" s="66"/>
      <c r="J24" s="66"/>
      <c r="K24" s="66"/>
      <c r="L24" s="66"/>
      <c r="M24" s="66"/>
      <c r="N24" s="66"/>
    </row>
    <row r="25" spans="1:14">
      <c r="A25" s="66"/>
      <c r="B25" s="66"/>
      <c r="C25" s="66"/>
      <c r="D25" s="66"/>
      <c r="E25" s="66"/>
      <c r="F25" s="66"/>
      <c r="G25" s="66"/>
      <c r="H25" s="66"/>
      <c r="I25" s="66"/>
      <c r="J25" s="66"/>
      <c r="K25" s="66"/>
      <c r="L25" s="66"/>
      <c r="M25" s="66"/>
      <c r="N25" s="66"/>
    </row>
    <row r="26" spans="1:14" ht="15.6">
      <c r="A26" s="157" t="s">
        <v>403</v>
      </c>
      <c r="B26" s="66"/>
      <c r="C26" s="66"/>
      <c r="D26" s="66"/>
      <c r="E26" s="66"/>
      <c r="F26" s="66"/>
      <c r="G26" s="66"/>
      <c r="H26" s="66"/>
      <c r="I26" s="66"/>
      <c r="J26" s="66"/>
      <c r="K26" s="66"/>
      <c r="L26" s="66"/>
      <c r="M26" s="66"/>
      <c r="N26" s="66"/>
    </row>
    <row r="27" spans="1:14" ht="15.6">
      <c r="A27" s="157"/>
      <c r="B27" s="66"/>
      <c r="C27" s="66"/>
      <c r="D27" s="66"/>
      <c r="E27" s="66"/>
      <c r="F27" s="66"/>
      <c r="G27" s="66"/>
      <c r="H27" s="66"/>
      <c r="I27" s="66"/>
      <c r="J27" s="66"/>
      <c r="K27" s="66"/>
      <c r="L27" s="66"/>
      <c r="M27" s="66"/>
      <c r="N27" s="66"/>
    </row>
    <row r="28" spans="1:14" ht="15.6">
      <c r="A28" s="166" t="s">
        <v>406</v>
      </c>
      <c r="B28" s="66"/>
      <c r="C28" s="66"/>
      <c r="D28" s="66"/>
      <c r="E28" s="66"/>
      <c r="F28" s="66"/>
      <c r="G28" s="66"/>
      <c r="H28" s="66"/>
      <c r="I28" s="66"/>
      <c r="J28" s="66"/>
      <c r="K28" s="66"/>
      <c r="L28" s="66"/>
      <c r="M28" s="66"/>
      <c r="N28" s="66"/>
    </row>
    <row r="29" spans="1:14" ht="15.6">
      <c r="A29" s="104" t="s">
        <v>24</v>
      </c>
    </row>
    <row r="30" spans="1:14">
      <c r="A30" s="85"/>
    </row>
  </sheetData>
  <mergeCells count="1">
    <mergeCell ref="B11:B12"/>
  </mergeCells>
  <pageMargins left="0.7" right="0.7" top="0.75" bottom="0.75" header="0.3" footer="0.3"/>
  <pageSetup orientation="portrait" verticalDpi="9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5FC95-F1A2-4223-8131-E0BC7F89AEF9}">
  <sheetPr codeName="Sheet50"/>
  <dimension ref="A1:N30"/>
  <sheetViews>
    <sheetView topLeftCell="A19" workbookViewId="0"/>
  </sheetViews>
  <sheetFormatPr defaultColWidth="9.21875" defaultRowHeight="14.4"/>
  <cols>
    <col min="1" max="1" width="46.5546875" style="67" customWidth="1"/>
    <col min="2" max="4" width="14.44140625" style="67" customWidth="1"/>
    <col min="5" max="16384" width="9.21875" style="67"/>
  </cols>
  <sheetData>
    <row r="1" spans="1:14" ht="17.399999999999999">
      <c r="A1" s="65" t="s">
        <v>72</v>
      </c>
      <c r="B1" s="66"/>
      <c r="C1" s="66"/>
      <c r="D1" s="66"/>
      <c r="E1" s="66"/>
      <c r="F1" s="66"/>
      <c r="G1" s="66"/>
      <c r="H1" s="66"/>
      <c r="I1" s="66"/>
      <c r="J1" s="66"/>
      <c r="K1" s="66"/>
      <c r="L1" s="66"/>
      <c r="M1" s="66"/>
      <c r="N1" s="66"/>
    </row>
    <row r="2" spans="1:14" ht="15.6">
      <c r="A2" s="68" t="s">
        <v>387</v>
      </c>
      <c r="B2" s="66"/>
      <c r="C2" s="66"/>
      <c r="D2" s="66"/>
      <c r="E2" s="66"/>
      <c r="F2" s="66"/>
      <c r="G2" s="66"/>
      <c r="H2" s="66"/>
      <c r="I2" s="66"/>
      <c r="J2" s="66"/>
      <c r="K2" s="66"/>
      <c r="L2" s="66"/>
      <c r="M2" s="66"/>
      <c r="N2" s="66"/>
    </row>
    <row r="3" spans="1:14" ht="15.6">
      <c r="A3" s="68" t="s">
        <v>388</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157" t="s">
        <v>389</v>
      </c>
      <c r="B5" s="66"/>
      <c r="C5" s="66"/>
      <c r="D5" s="66"/>
      <c r="E5" s="66"/>
      <c r="F5" s="66"/>
      <c r="G5" s="66"/>
      <c r="H5" s="66"/>
      <c r="I5" s="66"/>
      <c r="J5" s="66"/>
      <c r="K5" s="66"/>
      <c r="L5" s="66"/>
      <c r="M5" s="66"/>
      <c r="N5" s="66"/>
    </row>
    <row r="6" spans="1:14" ht="16.2" thickBot="1">
      <c r="A6" s="70"/>
      <c r="B6" s="66"/>
      <c r="C6" s="66"/>
      <c r="D6" s="66"/>
      <c r="E6" s="66"/>
      <c r="F6" s="66"/>
      <c r="G6" s="66"/>
      <c r="H6" s="66"/>
      <c r="I6" s="66"/>
      <c r="J6" s="66"/>
      <c r="K6" s="66"/>
      <c r="L6" s="66"/>
      <c r="M6" s="66"/>
      <c r="N6" s="66"/>
    </row>
    <row r="7" spans="1:14" ht="16.2" thickBot="1">
      <c r="A7" s="110" t="s">
        <v>390</v>
      </c>
      <c r="B7" s="180">
        <v>0.75</v>
      </c>
      <c r="C7" s="66"/>
      <c r="D7" s="66"/>
      <c r="E7" s="66"/>
      <c r="F7" s="66"/>
      <c r="G7" s="66"/>
      <c r="H7" s="66"/>
      <c r="I7" s="66"/>
      <c r="J7" s="66"/>
      <c r="K7" s="66"/>
      <c r="L7" s="66"/>
      <c r="M7" s="66"/>
      <c r="N7" s="66"/>
    </row>
    <row r="8" spans="1:14" ht="16.2" thickBot="1">
      <c r="A8" s="112" t="s">
        <v>391</v>
      </c>
      <c r="B8" s="115">
        <v>0.1</v>
      </c>
      <c r="C8" s="66"/>
      <c r="D8" s="66"/>
      <c r="E8" s="66"/>
      <c r="F8" s="66"/>
      <c r="G8" s="66"/>
      <c r="H8" s="66"/>
      <c r="I8" s="66"/>
      <c r="J8" s="66"/>
      <c r="K8" s="66"/>
      <c r="L8" s="66"/>
      <c r="M8" s="66"/>
      <c r="N8" s="66"/>
    </row>
    <row r="9" spans="1:14" ht="16.2" thickBot="1">
      <c r="A9" s="112" t="s">
        <v>392</v>
      </c>
      <c r="B9" s="114">
        <v>1.4999999999999999E-2</v>
      </c>
      <c r="C9" s="66"/>
      <c r="D9" s="66"/>
      <c r="E9" s="66"/>
      <c r="F9" s="66"/>
      <c r="G9" s="66"/>
      <c r="H9" s="66"/>
      <c r="I9" s="66"/>
      <c r="J9" s="66"/>
      <c r="K9" s="66"/>
      <c r="L9" s="66"/>
      <c r="M9" s="66"/>
      <c r="N9" s="66"/>
    </row>
    <row r="10" spans="1:14" ht="16.2" thickBot="1">
      <c r="A10" s="112" t="s">
        <v>393</v>
      </c>
      <c r="B10" s="114">
        <v>5.0000000000000001E-3</v>
      </c>
      <c r="C10" s="66"/>
      <c r="D10" s="66"/>
      <c r="E10" s="66"/>
      <c r="F10" s="66"/>
      <c r="G10" s="66"/>
      <c r="H10" s="66"/>
      <c r="I10" s="66"/>
      <c r="J10" s="66"/>
      <c r="K10" s="66"/>
      <c r="L10" s="66"/>
      <c r="M10" s="66"/>
      <c r="N10" s="66"/>
    </row>
    <row r="11" spans="1:14" ht="15.6">
      <c r="A11" s="117" t="s">
        <v>394</v>
      </c>
      <c r="B11" s="1149">
        <v>0.03</v>
      </c>
      <c r="C11" s="66"/>
      <c r="D11" s="66"/>
      <c r="E11" s="66"/>
      <c r="F11" s="66"/>
      <c r="G11" s="66"/>
      <c r="H11" s="66"/>
      <c r="I11" s="66"/>
      <c r="J11" s="66"/>
      <c r="K11" s="66"/>
      <c r="L11" s="66"/>
      <c r="M11" s="66"/>
      <c r="N11" s="66"/>
    </row>
    <row r="12" spans="1:14" ht="31.8" thickBot="1">
      <c r="A12" s="112" t="s">
        <v>395</v>
      </c>
      <c r="B12" s="1150"/>
      <c r="C12" s="66"/>
      <c r="D12" s="66"/>
      <c r="E12" s="66"/>
      <c r="F12" s="66"/>
      <c r="G12" s="66"/>
      <c r="H12" s="66"/>
      <c r="I12" s="66"/>
      <c r="J12" s="66"/>
      <c r="K12" s="66"/>
      <c r="L12" s="66"/>
      <c r="M12" s="66"/>
      <c r="N12" s="66"/>
    </row>
    <row r="13" spans="1:14" ht="47.4" thickBot="1">
      <c r="A13" s="112" t="s">
        <v>396</v>
      </c>
      <c r="B13" s="114">
        <v>2.5000000000000001E-2</v>
      </c>
      <c r="C13" s="66"/>
      <c r="D13" s="66"/>
      <c r="E13" s="66"/>
      <c r="F13" s="66"/>
      <c r="G13" s="66"/>
      <c r="H13" s="66"/>
      <c r="I13" s="66"/>
      <c r="J13" s="66"/>
      <c r="K13" s="66"/>
      <c r="L13" s="66"/>
      <c r="M13" s="66"/>
      <c r="N13" s="66"/>
    </row>
    <row r="14" spans="1:14" ht="16.2" thickBot="1">
      <c r="A14" s="112" t="s">
        <v>397</v>
      </c>
      <c r="B14" s="114">
        <v>0.04</v>
      </c>
      <c r="C14" s="66"/>
      <c r="D14" s="66"/>
      <c r="E14" s="66"/>
      <c r="F14" s="66"/>
      <c r="G14" s="66"/>
      <c r="H14" s="66"/>
      <c r="I14" s="66"/>
      <c r="J14" s="66"/>
      <c r="K14" s="66"/>
      <c r="L14" s="66"/>
      <c r="M14" s="66"/>
      <c r="N14" s="66"/>
    </row>
    <row r="15" spans="1:14" ht="63" thickBot="1">
      <c r="A15" s="112" t="s">
        <v>398</v>
      </c>
      <c r="B15" s="113" t="s">
        <v>399</v>
      </c>
      <c r="C15" s="66"/>
      <c r="D15" s="66"/>
      <c r="E15" s="66"/>
      <c r="F15" s="66"/>
      <c r="G15" s="66"/>
      <c r="H15" s="66"/>
      <c r="I15" s="66"/>
      <c r="J15" s="66"/>
      <c r="K15" s="66"/>
      <c r="L15" s="66"/>
      <c r="M15" s="66"/>
      <c r="N15" s="66"/>
    </row>
    <row r="16" spans="1:14" ht="15.6">
      <c r="A16" s="157"/>
      <c r="B16" s="66"/>
      <c r="C16" s="66"/>
      <c r="D16" s="66"/>
      <c r="E16" s="66"/>
      <c r="F16" s="66"/>
      <c r="G16" s="66"/>
      <c r="H16" s="66"/>
      <c r="I16" s="66"/>
      <c r="J16" s="66"/>
      <c r="K16" s="66"/>
      <c r="L16" s="66"/>
      <c r="M16" s="66"/>
      <c r="N16" s="66"/>
    </row>
    <row r="17" spans="1:14" ht="15.6">
      <c r="A17" s="157" t="s">
        <v>400</v>
      </c>
      <c r="B17" s="66"/>
      <c r="C17" s="66"/>
      <c r="D17" s="66"/>
      <c r="E17" s="66"/>
      <c r="F17" s="66"/>
      <c r="G17" s="66"/>
      <c r="H17" s="66"/>
      <c r="I17" s="66"/>
      <c r="J17" s="66"/>
      <c r="K17" s="66"/>
      <c r="L17" s="66"/>
      <c r="M17" s="66"/>
      <c r="N17" s="66"/>
    </row>
    <row r="18" spans="1:14" ht="16.2" thickBot="1">
      <c r="A18" s="157"/>
      <c r="B18" s="66"/>
      <c r="C18" s="66"/>
      <c r="D18" s="66"/>
      <c r="E18" s="66"/>
      <c r="F18" s="66"/>
      <c r="G18" s="66"/>
      <c r="H18" s="66"/>
      <c r="I18" s="66"/>
      <c r="J18" s="66"/>
      <c r="K18" s="66"/>
      <c r="L18" s="66"/>
      <c r="M18" s="66"/>
      <c r="N18" s="66"/>
    </row>
    <row r="19" spans="1:14" ht="16.2" thickBot="1">
      <c r="A19" s="181">
        <v>42735</v>
      </c>
      <c r="B19" s="111">
        <v>2252</v>
      </c>
      <c r="C19" s="66"/>
      <c r="D19" s="66"/>
      <c r="E19" s="66"/>
      <c r="F19" s="66"/>
      <c r="G19" s="66"/>
      <c r="H19" s="66"/>
      <c r="I19" s="66"/>
      <c r="J19" s="66"/>
      <c r="K19" s="66"/>
      <c r="L19" s="66"/>
      <c r="M19" s="66"/>
      <c r="N19" s="66"/>
    </row>
    <row r="20" spans="1:14" ht="16.2" thickBot="1">
      <c r="A20" s="182">
        <v>43100</v>
      </c>
      <c r="B20" s="183">
        <v>2684</v>
      </c>
      <c r="C20" s="66"/>
      <c r="D20" s="66"/>
      <c r="E20" s="66"/>
      <c r="F20" s="66"/>
      <c r="G20" s="66"/>
      <c r="H20" s="66"/>
      <c r="I20" s="66"/>
      <c r="J20" s="66"/>
      <c r="K20" s="66"/>
      <c r="L20" s="66"/>
      <c r="M20" s="66"/>
      <c r="N20" s="66"/>
    </row>
    <row r="21" spans="1:14" ht="16.2" thickBot="1">
      <c r="A21" s="182">
        <v>43465</v>
      </c>
      <c r="B21" s="183">
        <v>2791</v>
      </c>
      <c r="C21" s="66"/>
      <c r="D21" s="66"/>
      <c r="E21" s="66"/>
      <c r="F21" s="66"/>
      <c r="G21" s="66"/>
      <c r="H21" s="66"/>
      <c r="I21" s="66"/>
      <c r="J21" s="66"/>
      <c r="K21" s="66"/>
      <c r="L21" s="66"/>
      <c r="M21" s="66"/>
      <c r="N21" s="66"/>
    </row>
    <row r="22" spans="1:14" ht="16.2" thickBot="1">
      <c r="A22" s="182">
        <v>43830</v>
      </c>
      <c r="B22" s="183">
        <v>3231</v>
      </c>
      <c r="C22" s="66"/>
      <c r="D22" s="66"/>
      <c r="E22" s="66"/>
      <c r="F22" s="66"/>
      <c r="G22" s="66"/>
      <c r="H22" s="66"/>
      <c r="I22" s="66"/>
      <c r="J22" s="66"/>
      <c r="K22" s="66"/>
      <c r="L22" s="66"/>
      <c r="M22" s="66"/>
      <c r="N22" s="66"/>
    </row>
    <row r="23" spans="1:14" ht="16.2" thickBot="1">
      <c r="A23" s="112" t="s">
        <v>401</v>
      </c>
      <c r="B23" s="183">
        <v>3248</v>
      </c>
      <c r="C23" s="66"/>
      <c r="D23" s="66"/>
      <c r="E23" s="66"/>
      <c r="F23" s="66"/>
      <c r="G23" s="66"/>
      <c r="H23" s="66"/>
      <c r="I23" s="66"/>
      <c r="J23" s="66"/>
      <c r="K23" s="66"/>
      <c r="L23" s="66"/>
      <c r="M23" s="66"/>
      <c r="N23" s="66"/>
    </row>
    <row r="24" spans="1:14" ht="16.2" thickBot="1">
      <c r="A24" s="112" t="s">
        <v>402</v>
      </c>
      <c r="B24" s="183">
        <v>2245</v>
      </c>
      <c r="C24" s="66"/>
      <c r="D24" s="66"/>
      <c r="E24" s="66"/>
      <c r="F24" s="66"/>
      <c r="G24" s="66"/>
      <c r="H24" s="66"/>
      <c r="I24" s="66"/>
      <c r="J24" s="66"/>
      <c r="K24" s="66"/>
      <c r="L24" s="66"/>
      <c r="M24" s="66"/>
      <c r="N24" s="66"/>
    </row>
    <row r="25" spans="1:14">
      <c r="A25" s="66"/>
      <c r="B25" s="66"/>
      <c r="C25" s="66"/>
      <c r="D25" s="66"/>
      <c r="E25" s="66"/>
      <c r="F25" s="66"/>
      <c r="G25" s="66"/>
      <c r="H25" s="66"/>
      <c r="I25" s="66"/>
      <c r="J25" s="66"/>
      <c r="K25" s="66"/>
      <c r="L25" s="66"/>
      <c r="M25" s="66"/>
      <c r="N25" s="66"/>
    </row>
    <row r="26" spans="1:14" ht="15.6">
      <c r="A26" s="157" t="s">
        <v>403</v>
      </c>
      <c r="B26" s="66"/>
      <c r="C26" s="66"/>
      <c r="D26" s="66"/>
      <c r="E26" s="66"/>
      <c r="F26" s="66"/>
      <c r="G26" s="66"/>
      <c r="H26" s="66"/>
      <c r="I26" s="66"/>
      <c r="J26" s="66"/>
      <c r="K26" s="66"/>
      <c r="L26" s="66"/>
      <c r="M26" s="66"/>
      <c r="N26" s="66"/>
    </row>
    <row r="27" spans="1:14" ht="15.6">
      <c r="A27" s="157"/>
      <c r="B27" s="66"/>
      <c r="C27" s="66"/>
      <c r="D27" s="66"/>
      <c r="E27" s="66"/>
      <c r="F27" s="66"/>
      <c r="G27" s="66"/>
      <c r="H27" s="66"/>
      <c r="I27" s="66"/>
      <c r="J27" s="66"/>
      <c r="K27" s="66"/>
      <c r="L27" s="66"/>
      <c r="M27" s="66"/>
      <c r="N27" s="66"/>
    </row>
    <row r="28" spans="1:14" ht="15.6">
      <c r="A28" s="166" t="s">
        <v>407</v>
      </c>
      <c r="B28" s="66"/>
      <c r="C28" s="66"/>
      <c r="D28" s="66"/>
      <c r="E28" s="66"/>
      <c r="F28" s="66"/>
      <c r="G28" s="66"/>
      <c r="H28" s="66"/>
      <c r="I28" s="66"/>
      <c r="J28" s="66"/>
      <c r="K28" s="66"/>
      <c r="L28" s="66"/>
      <c r="M28" s="66"/>
      <c r="N28" s="66"/>
    </row>
    <row r="29" spans="1:14" ht="15.6">
      <c r="A29" s="104" t="s">
        <v>24</v>
      </c>
    </row>
    <row r="30" spans="1:14">
      <c r="A30" s="85"/>
    </row>
  </sheetData>
  <mergeCells count="1">
    <mergeCell ref="B11:B12"/>
  </mergeCells>
  <pageMargins left="0.7" right="0.7" top="0.75" bottom="0.75" header="0.3" footer="0.3"/>
  <pageSetup orientation="portrait" verticalDpi="9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12C1C-BB0A-402B-A074-2ED35A2AB442}">
  <sheetPr codeName="Sheet45"/>
  <dimension ref="A1:N27"/>
  <sheetViews>
    <sheetView topLeftCell="A19" workbookViewId="0"/>
  </sheetViews>
  <sheetFormatPr defaultColWidth="9.21875" defaultRowHeight="14.4"/>
  <cols>
    <col min="1" max="1" width="46.5546875" style="67" customWidth="1"/>
    <col min="2" max="4" width="14.44140625" style="67" customWidth="1"/>
    <col min="5" max="16384" width="9.21875" style="67"/>
  </cols>
  <sheetData>
    <row r="1" spans="1:14" ht="17.399999999999999">
      <c r="A1" s="65" t="s">
        <v>408</v>
      </c>
      <c r="B1" s="66"/>
      <c r="C1" s="66"/>
      <c r="D1" s="66"/>
      <c r="E1" s="66"/>
      <c r="F1" s="66"/>
      <c r="G1" s="66"/>
      <c r="H1" s="66"/>
      <c r="I1" s="66"/>
      <c r="J1" s="66"/>
      <c r="K1" s="66"/>
      <c r="L1" s="66"/>
      <c r="M1" s="66"/>
      <c r="N1" s="66"/>
    </row>
    <row r="2" spans="1:14" ht="15.6">
      <c r="A2" s="68" t="s">
        <v>336</v>
      </c>
      <c r="B2" s="66"/>
      <c r="C2" s="66"/>
      <c r="D2" s="66"/>
      <c r="E2" s="66"/>
      <c r="F2" s="66"/>
      <c r="G2" s="66"/>
      <c r="H2" s="66"/>
      <c r="I2" s="66"/>
      <c r="J2" s="66"/>
      <c r="K2" s="66"/>
      <c r="L2" s="66"/>
      <c r="M2" s="66"/>
      <c r="N2" s="66"/>
    </row>
    <row r="3" spans="1:14" ht="15.6">
      <c r="A3" s="68" t="s">
        <v>388</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409</v>
      </c>
      <c r="B5" s="66"/>
      <c r="C5" s="66"/>
      <c r="D5" s="66"/>
      <c r="E5" s="66"/>
      <c r="F5" s="66"/>
      <c r="G5" s="66"/>
      <c r="H5" s="66"/>
      <c r="I5" s="66"/>
      <c r="J5" s="66"/>
      <c r="K5" s="66"/>
      <c r="L5" s="66"/>
      <c r="M5" s="66"/>
      <c r="N5" s="66"/>
    </row>
    <row r="6" spans="1:14" ht="15.6">
      <c r="A6" s="70"/>
      <c r="B6" s="66"/>
      <c r="C6" s="66"/>
      <c r="D6" s="66"/>
      <c r="E6" s="66"/>
      <c r="F6" s="66"/>
      <c r="G6" s="66"/>
      <c r="H6" s="66"/>
      <c r="I6" s="66"/>
      <c r="J6" s="66"/>
      <c r="K6" s="66"/>
      <c r="L6" s="66"/>
      <c r="M6" s="66"/>
      <c r="N6" s="66"/>
    </row>
    <row r="7" spans="1:14" ht="15.6">
      <c r="A7" s="162" t="s">
        <v>410</v>
      </c>
      <c r="B7" s="66"/>
      <c r="C7" s="66"/>
      <c r="D7" s="66"/>
      <c r="E7" s="66"/>
      <c r="F7" s="66"/>
      <c r="G7" s="66"/>
      <c r="H7" s="66"/>
      <c r="I7" s="66"/>
      <c r="J7" s="66"/>
      <c r="K7" s="66"/>
      <c r="L7" s="66"/>
      <c r="M7" s="66"/>
      <c r="N7" s="66"/>
    </row>
    <row r="8" spans="1:14" ht="15.6">
      <c r="A8" s="162" t="s">
        <v>411</v>
      </c>
      <c r="B8" s="66"/>
      <c r="C8" s="66"/>
      <c r="D8" s="66"/>
      <c r="E8" s="66"/>
      <c r="F8" s="66"/>
      <c r="G8" s="66"/>
      <c r="H8" s="66"/>
      <c r="I8" s="66"/>
      <c r="J8" s="66"/>
      <c r="K8" s="66"/>
      <c r="L8" s="66"/>
      <c r="M8" s="66"/>
      <c r="N8" s="66"/>
    </row>
    <row r="9" spans="1:14" ht="15.6">
      <c r="A9" s="162" t="s">
        <v>412</v>
      </c>
      <c r="B9" s="66"/>
      <c r="C9" s="66"/>
      <c r="D9" s="66"/>
      <c r="E9" s="66"/>
      <c r="F9" s="66"/>
      <c r="G9" s="66"/>
      <c r="H9" s="66"/>
      <c r="I9" s="66"/>
      <c r="J9" s="66"/>
      <c r="K9" s="66"/>
      <c r="L9" s="66"/>
      <c r="M9" s="66"/>
      <c r="N9" s="66"/>
    </row>
    <row r="10" spans="1:14" ht="15.6">
      <c r="A10" s="162" t="s">
        <v>413</v>
      </c>
      <c r="B10" s="66"/>
      <c r="C10" s="66"/>
      <c r="D10" s="66"/>
      <c r="E10" s="66"/>
      <c r="F10" s="66"/>
      <c r="G10" s="66"/>
      <c r="H10" s="66"/>
      <c r="I10" s="66"/>
      <c r="J10" s="66"/>
      <c r="K10" s="66"/>
      <c r="L10" s="66"/>
      <c r="M10" s="66"/>
      <c r="N10" s="66"/>
    </row>
    <row r="11" spans="1:14" ht="16.2" thickBot="1">
      <c r="A11" s="157"/>
      <c r="B11" s="66"/>
      <c r="C11" s="66"/>
      <c r="D11" s="66"/>
      <c r="E11" s="66"/>
      <c r="F11" s="66"/>
      <c r="G11" s="66"/>
      <c r="H11" s="66"/>
      <c r="I11" s="66"/>
      <c r="J11" s="66"/>
      <c r="K11" s="66"/>
      <c r="L11" s="66"/>
      <c r="M11" s="66"/>
      <c r="N11" s="66"/>
    </row>
    <row r="12" spans="1:14" ht="16.2" thickBot="1">
      <c r="A12" s="139" t="s">
        <v>414</v>
      </c>
      <c r="B12" s="184">
        <v>0.75</v>
      </c>
      <c r="C12" s="66"/>
      <c r="D12" s="66"/>
      <c r="E12" s="66"/>
      <c r="F12" s="66"/>
      <c r="G12" s="66"/>
      <c r="H12" s="66"/>
      <c r="I12" s="66"/>
      <c r="J12" s="66"/>
      <c r="K12" s="66"/>
      <c r="L12" s="66"/>
      <c r="M12" s="66"/>
      <c r="N12" s="66"/>
    </row>
    <row r="13" spans="1:14" ht="16.2" thickBot="1">
      <c r="A13" s="137" t="s">
        <v>230</v>
      </c>
      <c r="B13" s="185">
        <v>1000</v>
      </c>
      <c r="C13" s="66"/>
      <c r="D13" s="66"/>
      <c r="E13" s="66"/>
      <c r="F13" s="66"/>
      <c r="G13" s="66"/>
      <c r="H13" s="66"/>
      <c r="I13" s="66"/>
      <c r="J13" s="66"/>
      <c r="K13" s="66"/>
      <c r="L13" s="66"/>
      <c r="M13" s="66"/>
      <c r="N13" s="66"/>
    </row>
    <row r="14" spans="1:14" ht="16.2" thickBot="1">
      <c r="A14" s="137" t="s">
        <v>415</v>
      </c>
      <c r="B14" s="185">
        <v>8.0000000000000002E-3</v>
      </c>
      <c r="C14" s="66"/>
      <c r="D14" s="66"/>
      <c r="E14" s="66"/>
      <c r="F14" s="66"/>
      <c r="G14" s="66"/>
      <c r="H14" s="66"/>
      <c r="I14" s="66"/>
      <c r="J14" s="66"/>
      <c r="K14" s="66"/>
      <c r="L14" s="66"/>
      <c r="M14" s="66"/>
      <c r="N14" s="66"/>
    </row>
    <row r="15" spans="1:14" ht="16.2" thickBot="1">
      <c r="A15" s="137" t="s">
        <v>416</v>
      </c>
      <c r="B15" s="186">
        <v>0.04</v>
      </c>
      <c r="C15" s="66"/>
      <c r="D15" s="66"/>
      <c r="E15" s="66"/>
      <c r="F15" s="66"/>
      <c r="G15" s="66"/>
      <c r="H15" s="66"/>
      <c r="I15" s="66"/>
      <c r="J15" s="66"/>
      <c r="K15" s="66"/>
      <c r="L15" s="66"/>
      <c r="M15" s="66"/>
      <c r="N15" s="66"/>
    </row>
    <row r="16" spans="1:14" ht="16.2" thickBot="1">
      <c r="A16" s="137" t="s">
        <v>417</v>
      </c>
      <c r="B16" s="185">
        <v>5</v>
      </c>
      <c r="C16" s="66"/>
      <c r="D16" s="66"/>
      <c r="E16" s="66"/>
      <c r="F16" s="66"/>
      <c r="G16" s="66"/>
      <c r="H16" s="66"/>
      <c r="I16" s="66"/>
      <c r="J16" s="66"/>
      <c r="K16" s="66"/>
      <c r="L16" s="66"/>
      <c r="M16" s="66"/>
      <c r="N16" s="66"/>
    </row>
    <row r="17" spans="1:14" ht="16.2" thickBot="1">
      <c r="A17" s="137" t="s">
        <v>418</v>
      </c>
      <c r="B17" s="185">
        <v>200</v>
      </c>
      <c r="C17" s="66"/>
      <c r="D17" s="66"/>
      <c r="E17" s="66"/>
      <c r="F17" s="66"/>
      <c r="G17" s="66"/>
      <c r="H17" s="66"/>
      <c r="I17" s="66"/>
      <c r="J17" s="66"/>
      <c r="K17" s="66"/>
      <c r="L17" s="66"/>
      <c r="M17" s="66"/>
      <c r="N17" s="66"/>
    </row>
    <row r="18" spans="1:14" ht="16.2" thickBot="1">
      <c r="A18" s="137" t="s">
        <v>419</v>
      </c>
      <c r="B18" s="185">
        <v>1.5</v>
      </c>
      <c r="C18" s="66"/>
      <c r="D18" s="66"/>
      <c r="E18" s="66"/>
      <c r="F18" s="66"/>
      <c r="G18" s="66"/>
      <c r="H18" s="66"/>
      <c r="I18" s="66"/>
      <c r="J18" s="66"/>
      <c r="K18" s="66"/>
      <c r="L18" s="66"/>
      <c r="M18" s="66"/>
      <c r="N18" s="66"/>
    </row>
    <row r="19" spans="1:14" ht="31.8" thickBot="1">
      <c r="A19" s="137" t="s">
        <v>420</v>
      </c>
      <c r="B19" s="185">
        <v>0.7</v>
      </c>
      <c r="C19" s="66"/>
      <c r="D19" s="66"/>
      <c r="E19" s="66"/>
      <c r="F19" s="66"/>
      <c r="G19" s="66"/>
      <c r="H19" s="66"/>
      <c r="I19" s="66"/>
      <c r="J19" s="66"/>
      <c r="K19" s="66"/>
      <c r="L19" s="66"/>
      <c r="M19" s="66"/>
      <c r="N19" s="66"/>
    </row>
    <row r="20" spans="1:14" ht="15.6">
      <c r="A20" s="157"/>
      <c r="B20" s="66"/>
      <c r="C20" s="66"/>
      <c r="D20" s="66"/>
      <c r="E20" s="66"/>
      <c r="F20" s="66"/>
      <c r="G20" s="66"/>
      <c r="H20" s="66"/>
      <c r="I20" s="66"/>
      <c r="J20" s="66"/>
      <c r="K20" s="66"/>
      <c r="L20" s="66"/>
      <c r="M20" s="66"/>
      <c r="N20" s="66"/>
    </row>
    <row r="21" spans="1:14" ht="15.6">
      <c r="A21" s="157"/>
      <c r="B21" s="66"/>
      <c r="C21" s="66"/>
      <c r="D21" s="66"/>
      <c r="E21" s="66"/>
      <c r="F21" s="66"/>
      <c r="G21" s="66"/>
      <c r="H21" s="66"/>
      <c r="I21" s="66"/>
      <c r="J21" s="66"/>
      <c r="K21" s="66"/>
      <c r="L21" s="66"/>
      <c r="M21" s="66"/>
      <c r="N21" s="66"/>
    </row>
    <row r="22" spans="1:14" ht="15.6">
      <c r="A22" s="157" t="s">
        <v>421</v>
      </c>
      <c r="B22" s="66"/>
      <c r="C22" s="66"/>
      <c r="D22" s="66"/>
      <c r="E22" s="66"/>
      <c r="F22" s="66"/>
      <c r="G22" s="66"/>
      <c r="H22" s="66"/>
      <c r="I22" s="66"/>
      <c r="J22" s="66"/>
      <c r="K22" s="66"/>
      <c r="L22" s="66"/>
      <c r="M22" s="66"/>
      <c r="N22" s="66"/>
    </row>
    <row r="23" spans="1:14" ht="15.6">
      <c r="A23" s="157"/>
      <c r="B23" s="66"/>
      <c r="C23" s="66"/>
      <c r="D23" s="66"/>
      <c r="E23" s="66"/>
      <c r="F23" s="66"/>
      <c r="G23" s="66"/>
      <c r="H23" s="66"/>
      <c r="I23" s="66"/>
      <c r="J23" s="66"/>
      <c r="K23" s="66"/>
      <c r="L23" s="66"/>
      <c r="M23" s="66"/>
      <c r="N23" s="66"/>
    </row>
    <row r="24" spans="1:14" ht="15.6">
      <c r="A24" s="166" t="s">
        <v>422</v>
      </c>
      <c r="B24" s="66"/>
      <c r="C24" s="66"/>
      <c r="D24" s="66"/>
      <c r="E24" s="66"/>
      <c r="F24" s="66"/>
      <c r="G24" s="66"/>
      <c r="H24" s="66"/>
      <c r="I24" s="66"/>
      <c r="J24" s="66"/>
      <c r="K24" s="66"/>
      <c r="L24" s="66"/>
      <c r="M24" s="66"/>
      <c r="N24" s="66"/>
    </row>
    <row r="25" spans="1:14" ht="15.6">
      <c r="A25" s="104" t="s">
        <v>24</v>
      </c>
    </row>
    <row r="26" spans="1:14">
      <c r="A26" s="85"/>
    </row>
    <row r="27" spans="1:14">
      <c r="A27" s="85"/>
    </row>
  </sheetData>
  <pageMargins left="0.7" right="0.7" top="0.75" bottom="0.75" header="0.3" footer="0.3"/>
  <pageSetup orientation="portrait" verticalDpi="9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6820E-53E6-4EBB-A388-015C03F5B713}">
  <sheetPr codeName="Sheet51"/>
  <dimension ref="A1:N26"/>
  <sheetViews>
    <sheetView topLeftCell="A19" workbookViewId="0"/>
  </sheetViews>
  <sheetFormatPr defaultColWidth="9.21875" defaultRowHeight="14.4"/>
  <cols>
    <col min="1" max="1" width="46.5546875" style="67" customWidth="1"/>
    <col min="2" max="4" width="14.44140625" style="67" customWidth="1"/>
    <col min="5" max="16384" width="9.21875" style="67"/>
  </cols>
  <sheetData>
    <row r="1" spans="1:14" ht="17.399999999999999">
      <c r="A1" s="65" t="s">
        <v>408</v>
      </c>
      <c r="B1" s="66"/>
      <c r="C1" s="66"/>
      <c r="D1" s="66"/>
      <c r="E1" s="66"/>
      <c r="F1" s="66"/>
      <c r="G1" s="66"/>
      <c r="H1" s="66"/>
      <c r="I1" s="66"/>
      <c r="J1" s="66"/>
      <c r="K1" s="66"/>
      <c r="L1" s="66"/>
      <c r="M1" s="66"/>
      <c r="N1" s="66"/>
    </row>
    <row r="2" spans="1:14" ht="15.6">
      <c r="A2" s="68" t="s">
        <v>336</v>
      </c>
      <c r="B2" s="66"/>
      <c r="C2" s="66"/>
      <c r="D2" s="66"/>
      <c r="E2" s="66"/>
      <c r="F2" s="66"/>
      <c r="G2" s="66"/>
      <c r="H2" s="66"/>
      <c r="I2" s="66"/>
      <c r="J2" s="66"/>
      <c r="K2" s="66"/>
      <c r="L2" s="66"/>
      <c r="M2" s="66"/>
      <c r="N2" s="66"/>
    </row>
    <row r="3" spans="1:14" ht="15.6">
      <c r="A3" s="68" t="s">
        <v>388</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409</v>
      </c>
      <c r="B5" s="66"/>
      <c r="C5" s="66"/>
      <c r="D5" s="66"/>
      <c r="E5" s="66"/>
      <c r="F5" s="66"/>
      <c r="G5" s="66"/>
      <c r="H5" s="66"/>
      <c r="I5" s="66"/>
      <c r="J5" s="66"/>
      <c r="K5" s="66"/>
      <c r="L5" s="66"/>
      <c r="M5" s="66"/>
      <c r="N5" s="66"/>
    </row>
    <row r="6" spans="1:14" ht="15.6">
      <c r="A6" s="70"/>
      <c r="B6" s="66"/>
      <c r="C6" s="66"/>
      <c r="D6" s="66"/>
      <c r="E6" s="66"/>
      <c r="F6" s="66"/>
      <c r="G6" s="66"/>
      <c r="H6" s="66"/>
      <c r="I6" s="66"/>
      <c r="J6" s="66"/>
      <c r="K6" s="66"/>
      <c r="L6" s="66"/>
      <c r="M6" s="66"/>
      <c r="N6" s="66"/>
    </row>
    <row r="7" spans="1:14" ht="15.6">
      <c r="A7" s="162" t="s">
        <v>410</v>
      </c>
      <c r="B7" s="66"/>
      <c r="C7" s="66"/>
      <c r="D7" s="66"/>
      <c r="E7" s="66"/>
      <c r="F7" s="66"/>
      <c r="G7" s="66"/>
      <c r="H7" s="66"/>
      <c r="I7" s="66"/>
      <c r="J7" s="66"/>
      <c r="K7" s="66"/>
      <c r="L7" s="66"/>
      <c r="M7" s="66"/>
      <c r="N7" s="66"/>
    </row>
    <row r="8" spans="1:14" ht="15.6">
      <c r="A8" s="162" t="s">
        <v>411</v>
      </c>
      <c r="B8" s="66"/>
      <c r="C8" s="66"/>
      <c r="D8" s="66"/>
      <c r="E8" s="66"/>
      <c r="F8" s="66"/>
      <c r="G8" s="66"/>
      <c r="H8" s="66"/>
      <c r="I8" s="66"/>
      <c r="J8" s="66"/>
      <c r="K8" s="66"/>
      <c r="L8" s="66"/>
      <c r="M8" s="66"/>
      <c r="N8" s="66"/>
    </row>
    <row r="9" spans="1:14" ht="15.6">
      <c r="A9" s="162" t="s">
        <v>412</v>
      </c>
      <c r="B9" s="66"/>
      <c r="C9" s="66"/>
      <c r="D9" s="66"/>
      <c r="E9" s="66"/>
      <c r="F9" s="66"/>
      <c r="G9" s="66"/>
      <c r="H9" s="66"/>
      <c r="I9" s="66"/>
      <c r="J9" s="66"/>
      <c r="K9" s="66"/>
      <c r="L9" s="66"/>
      <c r="M9" s="66"/>
      <c r="N9" s="66"/>
    </row>
    <row r="10" spans="1:14" ht="15.6">
      <c r="A10" s="162" t="s">
        <v>413</v>
      </c>
      <c r="B10" s="66"/>
      <c r="C10" s="66"/>
      <c r="D10" s="66"/>
      <c r="E10" s="66"/>
      <c r="F10" s="66"/>
      <c r="G10" s="66"/>
      <c r="H10" s="66"/>
      <c r="I10" s="66"/>
      <c r="J10" s="66"/>
      <c r="K10" s="66"/>
      <c r="L10" s="66"/>
      <c r="M10" s="66"/>
      <c r="N10" s="66"/>
    </row>
    <row r="11" spans="1:14" ht="16.2" thickBot="1">
      <c r="A11" s="157"/>
      <c r="B11" s="66"/>
      <c r="C11" s="66"/>
      <c r="D11" s="66"/>
      <c r="E11" s="66"/>
      <c r="F11" s="66"/>
      <c r="G11" s="66"/>
      <c r="H11" s="66"/>
      <c r="I11" s="66"/>
      <c r="J11" s="66"/>
      <c r="K11" s="66"/>
      <c r="L11" s="66"/>
      <c r="M11" s="66"/>
      <c r="N11" s="66"/>
    </row>
    <row r="12" spans="1:14" ht="16.2" thickBot="1">
      <c r="A12" s="139" t="s">
        <v>414</v>
      </c>
      <c r="B12" s="184">
        <v>0.75</v>
      </c>
      <c r="C12" s="66"/>
      <c r="D12" s="66"/>
      <c r="E12" s="66"/>
      <c r="F12" s="66"/>
      <c r="G12" s="66"/>
      <c r="H12" s="66"/>
      <c r="I12" s="66"/>
      <c r="J12" s="66"/>
      <c r="K12" s="66"/>
      <c r="L12" s="66"/>
      <c r="M12" s="66"/>
      <c r="N12" s="66"/>
    </row>
    <row r="13" spans="1:14" ht="16.2" thickBot="1">
      <c r="A13" s="137" t="s">
        <v>230</v>
      </c>
      <c r="B13" s="185">
        <v>1000</v>
      </c>
      <c r="C13" s="66"/>
      <c r="D13" s="66"/>
      <c r="E13" s="66"/>
      <c r="F13" s="66"/>
      <c r="G13" s="66"/>
      <c r="H13" s="66"/>
      <c r="I13" s="66"/>
      <c r="J13" s="66"/>
      <c r="K13" s="66"/>
      <c r="L13" s="66"/>
      <c r="M13" s="66"/>
      <c r="N13" s="66"/>
    </row>
    <row r="14" spans="1:14" ht="16.2" thickBot="1">
      <c r="A14" s="137" t="s">
        <v>415</v>
      </c>
      <c r="B14" s="185">
        <v>8.0000000000000002E-3</v>
      </c>
      <c r="C14" s="66"/>
      <c r="D14" s="66"/>
      <c r="E14" s="66"/>
      <c r="F14" s="66"/>
      <c r="G14" s="66"/>
      <c r="H14" s="66"/>
      <c r="I14" s="66"/>
      <c r="J14" s="66"/>
      <c r="K14" s="66"/>
      <c r="L14" s="66"/>
      <c r="M14" s="66"/>
      <c r="N14" s="66"/>
    </row>
    <row r="15" spans="1:14" ht="16.2" thickBot="1">
      <c r="A15" s="137" t="s">
        <v>416</v>
      </c>
      <c r="B15" s="186">
        <v>0.04</v>
      </c>
      <c r="C15" s="66"/>
      <c r="D15" s="66"/>
      <c r="E15" s="66"/>
      <c r="F15" s="66"/>
      <c r="G15" s="66"/>
      <c r="H15" s="66"/>
      <c r="I15" s="66"/>
      <c r="J15" s="66"/>
      <c r="K15" s="66"/>
      <c r="L15" s="66"/>
      <c r="M15" s="66"/>
      <c r="N15" s="66"/>
    </row>
    <row r="16" spans="1:14" ht="16.2" thickBot="1">
      <c r="A16" s="137" t="s">
        <v>417</v>
      </c>
      <c r="B16" s="185">
        <v>5</v>
      </c>
      <c r="C16" s="66"/>
      <c r="D16" s="66"/>
      <c r="E16" s="66"/>
      <c r="F16" s="66"/>
      <c r="G16" s="66"/>
      <c r="H16" s="66"/>
      <c r="I16" s="66"/>
      <c r="J16" s="66"/>
      <c r="K16" s="66"/>
      <c r="L16" s="66"/>
      <c r="M16" s="66"/>
      <c r="N16" s="66"/>
    </row>
    <row r="17" spans="1:14" ht="16.2" thickBot="1">
      <c r="A17" s="137" t="s">
        <v>418</v>
      </c>
      <c r="B17" s="185">
        <v>200</v>
      </c>
      <c r="C17" s="66"/>
      <c r="D17" s="66"/>
      <c r="E17" s="66"/>
      <c r="F17" s="66"/>
      <c r="G17" s="66"/>
      <c r="H17" s="66"/>
      <c r="I17" s="66"/>
      <c r="J17" s="66"/>
      <c r="K17" s="66"/>
      <c r="L17" s="66"/>
      <c r="M17" s="66"/>
      <c r="N17" s="66"/>
    </row>
    <row r="18" spans="1:14" ht="16.2" thickBot="1">
      <c r="A18" s="137" t="s">
        <v>419</v>
      </c>
      <c r="B18" s="185">
        <v>1.5</v>
      </c>
      <c r="C18" s="66"/>
      <c r="D18" s="66"/>
      <c r="E18" s="66"/>
      <c r="F18" s="66"/>
      <c r="G18" s="66"/>
      <c r="H18" s="66"/>
      <c r="I18" s="66"/>
      <c r="J18" s="66"/>
      <c r="K18" s="66"/>
      <c r="L18" s="66"/>
      <c r="M18" s="66"/>
      <c r="N18" s="66"/>
    </row>
    <row r="19" spans="1:14" ht="31.8" thickBot="1">
      <c r="A19" s="137" t="s">
        <v>420</v>
      </c>
      <c r="B19" s="185">
        <v>0.7</v>
      </c>
      <c r="C19" s="66"/>
      <c r="D19" s="66"/>
      <c r="E19" s="66"/>
      <c r="F19" s="66"/>
      <c r="G19" s="66"/>
      <c r="H19" s="66"/>
      <c r="I19" s="66"/>
      <c r="J19" s="66"/>
      <c r="K19" s="66"/>
      <c r="L19" s="66"/>
      <c r="M19" s="66"/>
      <c r="N19" s="66"/>
    </row>
    <row r="20" spans="1:14" ht="15.6">
      <c r="A20" s="157"/>
      <c r="B20" s="66"/>
      <c r="C20" s="66"/>
      <c r="D20" s="66"/>
      <c r="E20" s="66"/>
      <c r="F20" s="66"/>
      <c r="G20" s="66"/>
      <c r="H20" s="66"/>
      <c r="I20" s="66"/>
      <c r="J20" s="66"/>
      <c r="K20" s="66"/>
      <c r="L20" s="66"/>
      <c r="M20" s="66"/>
      <c r="N20" s="66"/>
    </row>
    <row r="21" spans="1:14" ht="15.6">
      <c r="A21" s="157"/>
      <c r="B21" s="66"/>
      <c r="C21" s="66"/>
      <c r="D21" s="66"/>
      <c r="E21" s="66"/>
      <c r="F21" s="66"/>
      <c r="G21" s="66"/>
      <c r="H21" s="66"/>
      <c r="I21" s="66"/>
      <c r="J21" s="66"/>
      <c r="K21" s="66"/>
      <c r="L21" s="66"/>
      <c r="M21" s="66"/>
      <c r="N21" s="66"/>
    </row>
    <row r="22" spans="1:14" ht="15.6">
      <c r="A22" s="157" t="s">
        <v>421</v>
      </c>
      <c r="B22" s="66"/>
      <c r="C22" s="66"/>
      <c r="D22" s="66"/>
      <c r="E22" s="66"/>
      <c r="F22" s="66"/>
      <c r="G22" s="66"/>
      <c r="H22" s="66"/>
      <c r="I22" s="66"/>
      <c r="J22" s="66"/>
      <c r="K22" s="66"/>
      <c r="L22" s="66"/>
      <c r="M22" s="66"/>
      <c r="N22" s="66"/>
    </row>
    <row r="23" spans="1:14" ht="15.6">
      <c r="A23" s="157"/>
      <c r="B23" s="66"/>
      <c r="C23" s="66"/>
      <c r="D23" s="66"/>
      <c r="E23" s="66"/>
      <c r="F23" s="66"/>
      <c r="G23" s="66"/>
      <c r="H23" s="66"/>
      <c r="I23" s="66"/>
      <c r="J23" s="66"/>
      <c r="K23" s="66"/>
      <c r="L23" s="66"/>
      <c r="M23" s="66"/>
      <c r="N23" s="66"/>
    </row>
    <row r="24" spans="1:14" ht="15.6">
      <c r="A24" s="166" t="s">
        <v>423</v>
      </c>
      <c r="B24" s="66"/>
      <c r="C24" s="66"/>
      <c r="D24" s="66"/>
      <c r="E24" s="66"/>
      <c r="F24" s="66"/>
      <c r="G24" s="66"/>
      <c r="H24" s="66"/>
      <c r="I24" s="66"/>
      <c r="J24" s="66"/>
      <c r="K24" s="66"/>
      <c r="L24" s="66"/>
      <c r="M24" s="66"/>
      <c r="N24" s="66"/>
    </row>
    <row r="25" spans="1:14" ht="15.6">
      <c r="A25" s="104" t="s">
        <v>24</v>
      </c>
    </row>
    <row r="26" spans="1:14">
      <c r="A26" s="85"/>
    </row>
  </sheetData>
  <pageMargins left="0.7" right="0.7" top="0.75" bottom="0.75" header="0.3" footer="0.3"/>
  <pageSetup orientation="portrait" verticalDpi="90" r:id="rId1"/>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C07E5-E3C9-4480-8732-21106468B7C4}">
  <sheetPr codeName="Sheet46"/>
  <dimension ref="A1:N49"/>
  <sheetViews>
    <sheetView topLeftCell="A9" workbookViewId="0"/>
  </sheetViews>
  <sheetFormatPr defaultColWidth="9.21875" defaultRowHeight="14.4"/>
  <cols>
    <col min="1" max="1" width="46.5546875" style="67" customWidth="1"/>
    <col min="2" max="4" width="14.44140625" style="67" customWidth="1"/>
    <col min="5" max="16384" width="9.21875" style="67"/>
  </cols>
  <sheetData>
    <row r="1" spans="1:14" ht="17.399999999999999">
      <c r="A1" s="65" t="s">
        <v>424</v>
      </c>
      <c r="B1" s="66"/>
      <c r="C1" s="66"/>
      <c r="D1" s="66"/>
      <c r="E1" s="66"/>
      <c r="F1" s="66"/>
      <c r="G1" s="66"/>
      <c r="H1" s="66"/>
      <c r="I1" s="66"/>
      <c r="J1" s="66"/>
      <c r="K1" s="66"/>
      <c r="L1" s="66"/>
      <c r="M1" s="66"/>
      <c r="N1" s="66"/>
    </row>
    <row r="2" spans="1:14" ht="15.6">
      <c r="A2" s="68" t="s">
        <v>425</v>
      </c>
      <c r="B2" s="66"/>
      <c r="C2" s="66"/>
      <c r="D2" s="66"/>
      <c r="E2" s="66"/>
      <c r="F2" s="66"/>
      <c r="G2" s="66"/>
      <c r="H2" s="66"/>
      <c r="I2" s="66"/>
      <c r="J2" s="66"/>
      <c r="K2" s="66"/>
      <c r="L2" s="66"/>
      <c r="M2" s="66"/>
      <c r="N2" s="66"/>
    </row>
    <row r="3" spans="1:14" ht="15.6">
      <c r="A3" s="68" t="s">
        <v>426</v>
      </c>
      <c r="B3" s="69"/>
      <c r="C3" s="69"/>
      <c r="D3" s="69"/>
      <c r="E3" s="69"/>
      <c r="F3" s="69"/>
      <c r="G3" s="69"/>
      <c r="H3" s="69"/>
      <c r="I3" s="69"/>
      <c r="J3" s="69"/>
      <c r="K3" s="66"/>
      <c r="L3" s="66"/>
      <c r="M3" s="66"/>
      <c r="N3" s="66"/>
    </row>
    <row r="4" spans="1:14">
      <c r="A4" s="66"/>
      <c r="B4" s="66"/>
      <c r="C4" s="66"/>
      <c r="D4" s="66"/>
      <c r="E4" s="66"/>
      <c r="F4" s="66"/>
      <c r="G4" s="66"/>
      <c r="H4" s="66"/>
      <c r="I4" s="66"/>
      <c r="J4" s="66"/>
      <c r="K4" s="66"/>
      <c r="L4" s="66"/>
      <c r="M4" s="66"/>
      <c r="N4" s="66"/>
    </row>
    <row r="5" spans="1:14" ht="15.6">
      <c r="A5" s="70" t="s">
        <v>427</v>
      </c>
      <c r="B5" s="66"/>
      <c r="C5" s="66"/>
      <c r="D5" s="66"/>
      <c r="E5" s="66"/>
      <c r="F5" s="66"/>
      <c r="G5" s="66"/>
      <c r="H5" s="66"/>
      <c r="I5" s="66"/>
      <c r="J5" s="66"/>
      <c r="K5" s="66"/>
      <c r="L5" s="66"/>
      <c r="M5" s="66"/>
      <c r="N5" s="66"/>
    </row>
    <row r="6" spans="1:14" ht="15.6">
      <c r="A6" s="157" t="s">
        <v>428</v>
      </c>
      <c r="B6" s="66"/>
      <c r="C6" s="66"/>
      <c r="D6" s="66"/>
      <c r="E6" s="66"/>
      <c r="F6" s="66"/>
      <c r="G6" s="66"/>
      <c r="H6" s="66"/>
      <c r="I6" s="66"/>
      <c r="J6" s="66"/>
      <c r="K6" s="66"/>
      <c r="L6" s="66"/>
      <c r="M6" s="66"/>
      <c r="N6" s="66"/>
    </row>
    <row r="7" spans="1:14" ht="16.2" thickBot="1">
      <c r="A7" s="157"/>
      <c r="B7" s="66"/>
      <c r="C7" s="66"/>
      <c r="D7" s="66"/>
      <c r="E7" s="66"/>
      <c r="F7" s="66"/>
      <c r="G7" s="66"/>
      <c r="H7" s="66"/>
      <c r="I7" s="66"/>
      <c r="J7" s="66"/>
      <c r="K7" s="66"/>
      <c r="L7" s="66"/>
      <c r="M7" s="66"/>
      <c r="N7" s="66"/>
    </row>
    <row r="8" spans="1:14" ht="16.2" thickBot="1">
      <c r="A8" s="110" t="s">
        <v>429</v>
      </c>
      <c r="B8" s="135" t="s">
        <v>430</v>
      </c>
      <c r="C8" s="135" t="s">
        <v>431</v>
      </c>
      <c r="D8" s="66"/>
      <c r="E8" s="66"/>
      <c r="F8" s="66"/>
      <c r="G8" s="66"/>
      <c r="H8" s="66"/>
      <c r="I8" s="66"/>
      <c r="J8" s="66"/>
      <c r="K8" s="66"/>
      <c r="L8" s="66"/>
      <c r="M8" s="66"/>
      <c r="N8" s="66"/>
    </row>
    <row r="9" spans="1:14" ht="16.2" thickBot="1">
      <c r="A9" s="137" t="s">
        <v>432</v>
      </c>
      <c r="B9" s="113">
        <v>112</v>
      </c>
      <c r="C9" s="113">
        <v>117.6</v>
      </c>
      <c r="D9" s="66"/>
      <c r="E9" s="66"/>
      <c r="F9" s="66"/>
      <c r="G9" s="66"/>
      <c r="H9" s="66"/>
      <c r="I9" s="66"/>
      <c r="J9" s="66"/>
      <c r="K9" s="66"/>
      <c r="L9" s="66"/>
      <c r="M9" s="66"/>
      <c r="N9" s="66"/>
    </row>
    <row r="10" spans="1:14" ht="16.2" thickBot="1">
      <c r="A10" s="137" t="s">
        <v>433</v>
      </c>
      <c r="B10" s="113">
        <v>45</v>
      </c>
      <c r="C10" s="113">
        <v>47.25</v>
      </c>
      <c r="D10" s="66"/>
      <c r="E10" s="66"/>
      <c r="F10" s="66"/>
      <c r="G10" s="66"/>
      <c r="H10" s="66"/>
      <c r="I10" s="66"/>
      <c r="J10" s="66"/>
      <c r="K10" s="66"/>
      <c r="L10" s="66"/>
      <c r="M10" s="66"/>
      <c r="N10" s="66"/>
    </row>
    <row r="11" spans="1:14" ht="16.2" thickBot="1">
      <c r="A11" s="137" t="s">
        <v>434</v>
      </c>
      <c r="B11" s="113">
        <v>30</v>
      </c>
      <c r="C11" s="113">
        <v>30</v>
      </c>
      <c r="D11" s="66"/>
      <c r="E11" s="66"/>
      <c r="F11" s="66"/>
      <c r="G11" s="66"/>
      <c r="H11" s="66"/>
      <c r="I11" s="66"/>
      <c r="J11" s="66"/>
      <c r="K11" s="66"/>
      <c r="L11" s="66"/>
      <c r="M11" s="66"/>
      <c r="N11" s="66"/>
    </row>
    <row r="12" spans="1:14" ht="16.2" thickBot="1">
      <c r="A12" s="137" t="s">
        <v>435</v>
      </c>
      <c r="B12" s="113">
        <v>10</v>
      </c>
      <c r="C12" s="113">
        <v>10</v>
      </c>
      <c r="D12" s="66"/>
      <c r="E12" s="66"/>
      <c r="F12" s="66"/>
      <c r="G12" s="66"/>
      <c r="H12" s="66"/>
      <c r="I12" s="66"/>
      <c r="J12" s="66"/>
      <c r="K12" s="66"/>
      <c r="L12" s="66"/>
      <c r="M12" s="66"/>
      <c r="N12" s="66"/>
    </row>
    <row r="13" spans="1:14" ht="16.2" thickBot="1">
      <c r="A13" s="137" t="s">
        <v>436</v>
      </c>
      <c r="B13" s="113">
        <v>15</v>
      </c>
      <c r="C13" s="113">
        <v>15</v>
      </c>
      <c r="D13" s="66"/>
      <c r="E13" s="66"/>
      <c r="F13" s="66"/>
      <c r="G13" s="66"/>
      <c r="H13" s="66"/>
      <c r="I13" s="66"/>
      <c r="J13" s="66"/>
      <c r="K13" s="66"/>
      <c r="L13" s="66"/>
      <c r="M13" s="66"/>
      <c r="N13" s="66"/>
    </row>
    <row r="14" spans="1:14" ht="16.2" thickBot="1">
      <c r="A14" s="137" t="s">
        <v>437</v>
      </c>
      <c r="B14" s="113">
        <v>2</v>
      </c>
      <c r="C14" s="113">
        <v>2</v>
      </c>
      <c r="D14" s="66"/>
      <c r="E14" s="66"/>
      <c r="F14" s="66"/>
      <c r="G14" s="66"/>
      <c r="H14" s="66"/>
      <c r="I14" s="66"/>
      <c r="J14" s="66"/>
      <c r="K14" s="66"/>
      <c r="L14" s="66"/>
      <c r="M14" s="66"/>
      <c r="N14" s="66"/>
    </row>
    <row r="15" spans="1:14" ht="16.2" thickBot="1">
      <c r="A15" s="137" t="s">
        <v>438</v>
      </c>
      <c r="B15" s="113">
        <v>40</v>
      </c>
      <c r="C15" s="113">
        <v>40</v>
      </c>
      <c r="D15" s="66"/>
      <c r="E15" s="66"/>
      <c r="F15" s="66"/>
      <c r="G15" s="66"/>
      <c r="H15" s="66"/>
      <c r="I15" s="66"/>
      <c r="J15" s="66"/>
      <c r="K15" s="66"/>
      <c r="L15" s="66"/>
      <c r="M15" s="66"/>
      <c r="N15" s="66"/>
    </row>
    <row r="16" spans="1:14" ht="16.2" thickBot="1">
      <c r="A16" s="157"/>
      <c r="B16" s="66"/>
      <c r="C16" s="66"/>
      <c r="D16" s="66"/>
      <c r="E16" s="66"/>
      <c r="F16" s="66"/>
      <c r="G16" s="66"/>
      <c r="H16" s="66"/>
      <c r="I16" s="66"/>
      <c r="J16" s="66"/>
      <c r="K16" s="66"/>
      <c r="L16" s="66"/>
      <c r="M16" s="66"/>
      <c r="N16" s="66"/>
    </row>
    <row r="17" spans="1:14" ht="16.2" thickBot="1">
      <c r="A17" s="110" t="s">
        <v>439</v>
      </c>
      <c r="B17" s="135" t="s">
        <v>430</v>
      </c>
      <c r="C17" s="135" t="s">
        <v>431</v>
      </c>
      <c r="D17" s="66"/>
      <c r="E17" s="66"/>
      <c r="F17" s="66"/>
      <c r="G17" s="66"/>
      <c r="H17" s="66"/>
      <c r="I17" s="66"/>
      <c r="J17" s="66"/>
      <c r="K17" s="66"/>
      <c r="L17" s="66"/>
      <c r="M17" s="66"/>
      <c r="N17" s="66"/>
    </row>
    <row r="18" spans="1:14" ht="16.2" thickBot="1">
      <c r="A18" s="137" t="s">
        <v>440</v>
      </c>
      <c r="B18" s="113">
        <v>75</v>
      </c>
      <c r="C18" s="113">
        <v>71.25</v>
      </c>
      <c r="D18" s="66"/>
      <c r="E18" s="66"/>
      <c r="F18" s="66"/>
      <c r="G18" s="66"/>
      <c r="H18" s="66"/>
      <c r="I18" s="66"/>
      <c r="J18" s="66"/>
      <c r="K18" s="66"/>
      <c r="L18" s="66"/>
      <c r="M18" s="66"/>
      <c r="N18" s="66"/>
    </row>
    <row r="19" spans="1:14" ht="16.2" thickBot="1">
      <c r="A19" s="137" t="s">
        <v>441</v>
      </c>
      <c r="B19" s="113">
        <v>120</v>
      </c>
      <c r="C19" s="113">
        <v>114</v>
      </c>
      <c r="D19" s="66"/>
      <c r="E19" s="66"/>
      <c r="F19" s="66"/>
      <c r="G19" s="66"/>
      <c r="H19" s="66"/>
      <c r="I19" s="66"/>
      <c r="J19" s="66"/>
      <c r="K19" s="66"/>
      <c r="L19" s="66"/>
      <c r="M19" s="66"/>
      <c r="N19" s="66"/>
    </row>
    <row r="20" spans="1:14" ht="16.2" thickBot="1">
      <c r="A20" s="137" t="s">
        <v>442</v>
      </c>
      <c r="B20" s="113">
        <v>1</v>
      </c>
      <c r="C20" s="113">
        <v>1</v>
      </c>
      <c r="D20" s="66"/>
      <c r="E20" s="66"/>
      <c r="F20" s="66"/>
      <c r="G20" s="66"/>
      <c r="H20" s="66"/>
      <c r="I20" s="66"/>
      <c r="J20" s="66"/>
      <c r="K20" s="66"/>
      <c r="L20" s="66"/>
      <c r="M20" s="66"/>
      <c r="N20" s="66"/>
    </row>
    <row r="21" spans="1:14" ht="16.2" thickBot="1">
      <c r="A21" s="137" t="s">
        <v>443</v>
      </c>
      <c r="B21" s="113">
        <v>4</v>
      </c>
      <c r="C21" s="113">
        <v>2</v>
      </c>
      <c r="D21" s="66"/>
      <c r="E21" s="66"/>
      <c r="F21" s="66"/>
      <c r="G21" s="66"/>
      <c r="H21" s="66"/>
      <c r="I21" s="66"/>
      <c r="J21" s="66"/>
      <c r="K21" s="66"/>
      <c r="L21" s="66"/>
      <c r="M21" s="66"/>
      <c r="N21" s="66"/>
    </row>
    <row r="22" spans="1:14" ht="16.2" thickBot="1">
      <c r="A22" s="137" t="s">
        <v>444</v>
      </c>
      <c r="B22" s="113">
        <v>40</v>
      </c>
      <c r="C22" s="113">
        <v>40</v>
      </c>
      <c r="D22" s="66"/>
      <c r="E22" s="66"/>
      <c r="F22" s="66"/>
      <c r="G22" s="66"/>
      <c r="H22" s="66"/>
      <c r="I22" s="66"/>
      <c r="J22" s="66"/>
      <c r="K22" s="66"/>
      <c r="L22" s="66"/>
      <c r="M22" s="66"/>
      <c r="N22" s="66"/>
    </row>
    <row r="23" spans="1:14" ht="16.2" thickBot="1">
      <c r="A23" s="137" t="s">
        <v>445</v>
      </c>
      <c r="B23" s="113">
        <v>3</v>
      </c>
      <c r="C23" s="113">
        <v>0</v>
      </c>
      <c r="D23" s="66"/>
      <c r="E23" s="66"/>
      <c r="F23" s="66"/>
      <c r="G23" s="66"/>
      <c r="H23" s="66"/>
      <c r="I23" s="66"/>
      <c r="J23" s="66"/>
      <c r="K23" s="66"/>
      <c r="L23" s="66"/>
      <c r="M23" s="66"/>
      <c r="N23" s="66"/>
    </row>
    <row r="24" spans="1:14" ht="16.2" thickBot="1">
      <c r="A24" s="137" t="s">
        <v>446</v>
      </c>
      <c r="B24" s="113">
        <v>2</v>
      </c>
      <c r="C24" s="113">
        <v>0</v>
      </c>
      <c r="D24" s="66"/>
      <c r="E24" s="66"/>
      <c r="F24" s="66"/>
      <c r="G24" s="66"/>
      <c r="H24" s="66"/>
      <c r="I24" s="66"/>
      <c r="J24" s="66"/>
      <c r="K24" s="66"/>
      <c r="L24" s="66"/>
      <c r="M24" s="66"/>
      <c r="N24" s="66"/>
    </row>
    <row r="25" spans="1:14" ht="16.2" thickBot="1">
      <c r="A25" s="157"/>
      <c r="B25" s="66"/>
      <c r="C25" s="66"/>
      <c r="D25" s="66"/>
      <c r="E25" s="66"/>
      <c r="F25" s="66"/>
      <c r="G25" s="66"/>
      <c r="H25" s="66"/>
      <c r="I25" s="66"/>
      <c r="J25" s="66"/>
      <c r="K25" s="66"/>
      <c r="L25" s="66"/>
      <c r="M25" s="66"/>
      <c r="N25" s="66"/>
    </row>
    <row r="26" spans="1:14" ht="16.2" thickBot="1">
      <c r="A26" s="110" t="s">
        <v>447</v>
      </c>
      <c r="B26" s="135" t="s">
        <v>448</v>
      </c>
      <c r="C26" s="66"/>
      <c r="D26" s="66"/>
      <c r="E26" s="66"/>
      <c r="F26" s="66"/>
      <c r="G26" s="66"/>
      <c r="H26" s="66"/>
      <c r="I26" s="66"/>
      <c r="J26" s="66"/>
      <c r="K26" s="66"/>
      <c r="L26" s="66"/>
      <c r="M26" s="66"/>
      <c r="N26" s="66"/>
    </row>
    <row r="27" spans="1:14" ht="16.2" thickBot="1">
      <c r="A27" s="137" t="s">
        <v>449</v>
      </c>
      <c r="B27" s="113">
        <v>900</v>
      </c>
      <c r="C27" s="66"/>
      <c r="D27" s="66"/>
      <c r="E27" s="66"/>
      <c r="F27" s="66"/>
      <c r="G27" s="66"/>
      <c r="H27" s="66"/>
      <c r="I27" s="66"/>
      <c r="J27" s="66"/>
      <c r="K27" s="66"/>
      <c r="L27" s="66"/>
      <c r="M27" s="66"/>
      <c r="N27" s="66"/>
    </row>
    <row r="28" spans="1:14" ht="16.2" thickBot="1">
      <c r="A28" s="137" t="s">
        <v>450</v>
      </c>
      <c r="B28" s="113">
        <v>3000</v>
      </c>
      <c r="C28" s="66"/>
      <c r="D28" s="66"/>
      <c r="E28" s="66"/>
      <c r="F28" s="66"/>
      <c r="G28" s="66"/>
      <c r="H28" s="66"/>
      <c r="I28" s="66"/>
      <c r="J28" s="66"/>
      <c r="K28" s="66"/>
      <c r="L28" s="66"/>
      <c r="M28" s="66"/>
      <c r="N28" s="66"/>
    </row>
    <row r="29" spans="1:14" ht="16.2" thickBot="1">
      <c r="A29" s="137" t="s">
        <v>451</v>
      </c>
      <c r="B29" s="113">
        <v>8</v>
      </c>
      <c r="C29" s="66"/>
      <c r="D29" s="66"/>
      <c r="E29" s="66"/>
      <c r="F29" s="66"/>
      <c r="G29" s="66"/>
      <c r="H29" s="66"/>
      <c r="I29" s="66"/>
      <c r="J29" s="66"/>
      <c r="K29" s="66"/>
      <c r="L29" s="66"/>
      <c r="M29" s="66"/>
      <c r="N29" s="66"/>
    </row>
    <row r="30" spans="1:14" ht="16.2" thickBot="1">
      <c r="A30" s="137" t="s">
        <v>452</v>
      </c>
      <c r="B30" s="113">
        <v>2</v>
      </c>
      <c r="C30" s="66"/>
      <c r="D30" s="66"/>
      <c r="E30" s="66"/>
      <c r="F30" s="66"/>
      <c r="G30" s="66"/>
      <c r="H30" s="66"/>
      <c r="I30" s="66"/>
      <c r="J30" s="66"/>
      <c r="K30" s="66"/>
      <c r="L30" s="66"/>
      <c r="M30" s="66"/>
      <c r="N30" s="66"/>
    </row>
    <row r="31" spans="1:14" ht="16.2" thickBot="1">
      <c r="A31" s="157"/>
      <c r="B31" s="66"/>
      <c r="C31" s="66"/>
      <c r="D31" s="66"/>
      <c r="E31" s="66"/>
      <c r="F31" s="66"/>
      <c r="G31" s="66"/>
      <c r="H31" s="66"/>
      <c r="I31" s="66"/>
      <c r="J31" s="66"/>
      <c r="K31" s="66"/>
      <c r="L31" s="66"/>
      <c r="M31" s="66"/>
      <c r="N31" s="66"/>
    </row>
    <row r="32" spans="1:14" ht="16.2" thickBot="1">
      <c r="A32" s="110" t="s">
        <v>453</v>
      </c>
      <c r="B32" s="135" t="s">
        <v>454</v>
      </c>
      <c r="C32" s="66"/>
      <c r="D32" s="66"/>
      <c r="E32" s="66"/>
      <c r="F32" s="66"/>
      <c r="G32" s="66"/>
      <c r="H32" s="66"/>
      <c r="I32" s="66"/>
      <c r="J32" s="66"/>
      <c r="K32" s="66"/>
      <c r="L32" s="66"/>
      <c r="M32" s="66"/>
      <c r="N32" s="66"/>
    </row>
    <row r="33" spans="1:14" ht="16.2" thickBot="1">
      <c r="A33" s="137" t="s">
        <v>455</v>
      </c>
      <c r="B33" s="115">
        <v>0.01</v>
      </c>
      <c r="C33" s="66"/>
      <c r="D33" s="66"/>
      <c r="E33" s="66"/>
      <c r="F33" s="66"/>
      <c r="G33" s="66"/>
      <c r="H33" s="66"/>
      <c r="I33" s="66"/>
      <c r="J33" s="66"/>
      <c r="K33" s="66"/>
      <c r="L33" s="66"/>
      <c r="M33" s="66"/>
      <c r="N33" s="66"/>
    </row>
    <row r="34" spans="1:14" ht="16.2" thickBot="1">
      <c r="A34" s="137" t="s">
        <v>456</v>
      </c>
      <c r="B34" s="114">
        <v>1.4999999999999999E-2</v>
      </c>
      <c r="C34" s="66"/>
      <c r="D34" s="66"/>
      <c r="E34" s="66"/>
      <c r="F34" s="66"/>
      <c r="G34" s="66"/>
      <c r="H34" s="66"/>
      <c r="I34" s="66"/>
      <c r="J34" s="66"/>
      <c r="K34" s="66"/>
      <c r="L34" s="66"/>
      <c r="M34" s="66"/>
      <c r="N34" s="66"/>
    </row>
    <row r="35" spans="1:14" ht="16.2" thickBot="1">
      <c r="A35" s="137" t="s">
        <v>457</v>
      </c>
      <c r="B35" s="115">
        <v>0.3</v>
      </c>
      <c r="C35" s="66"/>
      <c r="D35" s="66"/>
      <c r="E35" s="66"/>
      <c r="F35" s="66"/>
      <c r="G35" s="66"/>
      <c r="H35" s="66"/>
      <c r="I35" s="66"/>
      <c r="J35" s="66"/>
      <c r="K35" s="66"/>
      <c r="L35" s="66"/>
      <c r="M35" s="66"/>
      <c r="N35" s="66"/>
    </row>
    <row r="36" spans="1:14" ht="16.2" thickBot="1">
      <c r="A36" s="137" t="s">
        <v>458</v>
      </c>
      <c r="B36" s="115">
        <v>0</v>
      </c>
      <c r="C36" s="66"/>
      <c r="D36" s="66"/>
      <c r="E36" s="66"/>
      <c r="F36" s="66"/>
      <c r="G36" s="66"/>
      <c r="H36" s="66"/>
      <c r="I36" s="66"/>
      <c r="J36" s="66"/>
      <c r="K36" s="66"/>
      <c r="L36" s="66"/>
      <c r="M36" s="66"/>
      <c r="N36" s="66"/>
    </row>
    <row r="37" spans="1:14" ht="16.2" thickBot="1">
      <c r="A37" s="137" t="s">
        <v>459</v>
      </c>
      <c r="B37" s="114">
        <v>5.0000000000000001E-4</v>
      </c>
      <c r="C37" s="66"/>
      <c r="D37" s="66"/>
      <c r="E37" s="66"/>
      <c r="F37" s="66"/>
      <c r="G37" s="66"/>
      <c r="H37" s="66"/>
      <c r="I37" s="66"/>
      <c r="J37" s="66"/>
      <c r="K37" s="66"/>
      <c r="L37" s="66"/>
      <c r="M37" s="66"/>
      <c r="N37" s="66"/>
    </row>
    <row r="38" spans="1:14" ht="16.2" thickBot="1">
      <c r="A38" s="137" t="s">
        <v>460</v>
      </c>
      <c r="B38" s="114">
        <v>1.54E-2</v>
      </c>
      <c r="C38" s="66"/>
      <c r="D38" s="66"/>
      <c r="E38" s="66"/>
      <c r="F38" s="66"/>
      <c r="G38" s="66"/>
      <c r="H38" s="66"/>
      <c r="I38" s="66"/>
      <c r="J38" s="66"/>
      <c r="K38" s="66"/>
      <c r="L38" s="66"/>
      <c r="M38" s="66"/>
      <c r="N38" s="66"/>
    </row>
    <row r="39" spans="1:14" ht="16.2" thickBot="1">
      <c r="A39" s="137" t="s">
        <v>461</v>
      </c>
      <c r="B39" s="114">
        <v>7.7000000000000002E-3</v>
      </c>
      <c r="C39" s="66"/>
      <c r="D39" s="66"/>
      <c r="E39" s="66"/>
      <c r="F39" s="66"/>
      <c r="G39" s="66"/>
      <c r="H39" s="66"/>
      <c r="I39" s="66"/>
      <c r="J39" s="66"/>
      <c r="K39" s="66"/>
      <c r="L39" s="66"/>
      <c r="M39" s="66"/>
      <c r="N39" s="66"/>
    </row>
    <row r="40" spans="1:14" ht="16.2" thickBot="1">
      <c r="A40" s="137" t="s">
        <v>462</v>
      </c>
      <c r="B40" s="114">
        <v>3.0800000000000001E-2</v>
      </c>
      <c r="C40" s="66"/>
      <c r="D40" s="66"/>
      <c r="E40" s="66"/>
      <c r="F40" s="66"/>
      <c r="G40" s="66"/>
      <c r="H40" s="66"/>
      <c r="I40" s="66"/>
      <c r="J40" s="66"/>
      <c r="K40" s="66"/>
      <c r="L40" s="66"/>
      <c r="M40" s="66"/>
      <c r="N40" s="66"/>
    </row>
    <row r="41" spans="1:14" ht="16.2" thickBot="1">
      <c r="A41" s="137" t="s">
        <v>463</v>
      </c>
      <c r="B41" s="115">
        <v>0.21</v>
      </c>
      <c r="C41" s="66"/>
      <c r="D41" s="66"/>
      <c r="E41" s="66"/>
      <c r="F41" s="66"/>
      <c r="G41" s="66"/>
      <c r="H41" s="66"/>
      <c r="I41" s="66"/>
      <c r="J41" s="66"/>
      <c r="K41" s="66"/>
      <c r="L41" s="66"/>
      <c r="M41" s="66"/>
      <c r="N41" s="66"/>
    </row>
    <row r="42" spans="1:14">
      <c r="A42" s="66"/>
      <c r="B42" s="66"/>
      <c r="C42" s="66"/>
      <c r="D42" s="66"/>
      <c r="E42" s="66"/>
      <c r="F42" s="66"/>
      <c r="G42" s="66"/>
      <c r="H42" s="66"/>
      <c r="I42" s="66"/>
      <c r="J42" s="66"/>
      <c r="K42" s="66"/>
      <c r="L42" s="66"/>
      <c r="M42" s="66"/>
      <c r="N42" s="66"/>
    </row>
    <row r="43" spans="1:14" ht="15.6">
      <c r="A43" s="157" t="s">
        <v>464</v>
      </c>
      <c r="B43" s="66"/>
      <c r="C43" s="66"/>
      <c r="D43" s="66"/>
      <c r="E43" s="66"/>
      <c r="F43" s="66"/>
      <c r="G43" s="66"/>
      <c r="H43" s="66"/>
      <c r="I43" s="66"/>
      <c r="J43" s="66"/>
      <c r="K43" s="66"/>
      <c r="L43" s="66"/>
      <c r="M43" s="66"/>
      <c r="N43" s="66"/>
    </row>
    <row r="44" spans="1:14" ht="15.6">
      <c r="A44" s="157"/>
      <c r="B44" s="66"/>
      <c r="C44" s="66"/>
      <c r="D44" s="66"/>
      <c r="E44" s="66"/>
      <c r="F44" s="66"/>
      <c r="G44" s="66"/>
      <c r="H44" s="66"/>
      <c r="I44" s="66"/>
      <c r="J44" s="66"/>
      <c r="K44" s="66"/>
      <c r="L44" s="66"/>
      <c r="M44" s="66"/>
      <c r="N44" s="66"/>
    </row>
    <row r="45" spans="1:14">
      <c r="A45" s="66"/>
      <c r="B45" s="66"/>
      <c r="C45" s="66"/>
      <c r="D45" s="66"/>
      <c r="E45" s="66"/>
      <c r="F45" s="66"/>
      <c r="G45" s="66"/>
      <c r="H45" s="66"/>
      <c r="I45" s="66"/>
      <c r="J45" s="66"/>
      <c r="K45" s="66"/>
      <c r="L45" s="66"/>
      <c r="M45" s="66"/>
      <c r="N45" s="66"/>
    </row>
    <row r="46" spans="1:14" ht="15.6">
      <c r="A46" s="157"/>
      <c r="B46" s="66"/>
      <c r="C46" s="66"/>
      <c r="D46" s="66"/>
      <c r="E46" s="66"/>
      <c r="F46" s="66"/>
      <c r="G46" s="66"/>
      <c r="H46" s="66"/>
      <c r="I46" s="66"/>
      <c r="J46" s="66"/>
      <c r="K46" s="66"/>
      <c r="L46" s="66"/>
      <c r="M46" s="66"/>
      <c r="N46" s="66"/>
    </row>
    <row r="47" spans="1:14" ht="15.6">
      <c r="A47" s="157" t="s">
        <v>465</v>
      </c>
      <c r="B47" s="66"/>
      <c r="C47" s="66"/>
      <c r="D47" s="66"/>
      <c r="E47" s="66"/>
      <c r="F47" s="66"/>
      <c r="G47" s="66"/>
      <c r="H47" s="66"/>
      <c r="I47" s="66"/>
      <c r="J47" s="66"/>
      <c r="K47" s="66"/>
      <c r="L47" s="66"/>
      <c r="M47" s="66"/>
      <c r="N47" s="66"/>
    </row>
    <row r="48" spans="1:14" ht="15.6">
      <c r="A48" s="104" t="s">
        <v>24</v>
      </c>
    </row>
    <row r="49" spans="1:1">
      <c r="A49" s="85"/>
    </row>
  </sheetData>
  <pageMargins left="0.7" right="0.7" top="0.75" bottom="0.75" header="0.3" footer="0.3"/>
  <pageSetup orientation="portrait" verticalDpi="90" r:id="rId1"/>
  <drawing r:id="rId2"/>
  <legacyDrawing r:id="rId3"/>
  <oleObjects>
    <mc:AlternateContent xmlns:mc="http://schemas.openxmlformats.org/markup-compatibility/2006">
      <mc:Choice Requires="x14">
        <oleObject progId="Equation.DSMT4" shapeId="31745" r:id="rId4">
          <objectPr defaultSize="0" autoPict="0" r:id="rId5">
            <anchor moveWithCells="1" sizeWithCells="1">
              <from>
                <xdr:col>0</xdr:col>
                <xdr:colOff>0</xdr:colOff>
                <xdr:row>44</xdr:row>
                <xdr:rowOff>0</xdr:rowOff>
              </from>
              <to>
                <xdr:col>1</xdr:col>
                <xdr:colOff>762000</xdr:colOff>
                <xdr:row>46</xdr:row>
                <xdr:rowOff>30480</xdr:rowOff>
              </to>
            </anchor>
          </objectPr>
        </oleObject>
      </mc:Choice>
      <mc:Fallback>
        <oleObject progId="Equation.DSMT4" shapeId="31745"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264fd13-c93d-4e63-9fb0-02334996df4b" xsi:nil="true"/>
    <lcf76f155ced4ddcb4097134ff3c332f xmlns="2a829cb1-c3bd-48aa-b101-cd51227f80d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6AE639BB4E74542A43DE6E767DBCE18" ma:contentTypeVersion="11" ma:contentTypeDescription="Create a new document." ma:contentTypeScope="" ma:versionID="681f7fff1efaa5d4527fe8ca50b73cf7">
  <xsd:schema xmlns:xsd="http://www.w3.org/2001/XMLSchema" xmlns:xs="http://www.w3.org/2001/XMLSchema" xmlns:p="http://schemas.microsoft.com/office/2006/metadata/properties" xmlns:ns2="2a829cb1-c3bd-48aa-b101-cd51227f80d0" xmlns:ns3="c264fd13-c93d-4e63-9fb0-02334996df4b" targetNamespace="http://schemas.microsoft.com/office/2006/metadata/properties" ma:root="true" ma:fieldsID="e809d16dd66263efebf52ef89ed394f9" ns2:_="" ns3:_="">
    <xsd:import namespace="2a829cb1-c3bd-48aa-b101-cd51227f80d0"/>
    <xsd:import namespace="c264fd13-c93d-4e63-9fb0-02334996df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29cb1-c3bd-48aa-b101-cd51227f8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64fd13-c93d-4e63-9fb0-02334996df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a015f8-e9b6-4fc3-9b4e-646117ef80f2}" ma:internalName="TaxCatchAll" ma:showField="CatchAllData" ma:web="c264fd13-c93d-4e63-9fb0-02334996df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F766FC-B640-4E8E-A102-20E3459CFF3C}">
  <ds:schemaRefs>
    <ds:schemaRef ds:uri="http://schemas.microsoft.com/sharepoint/v3/contenttype/forms"/>
  </ds:schemaRefs>
</ds:datastoreItem>
</file>

<file path=customXml/itemProps2.xml><?xml version="1.0" encoding="utf-8"?>
<ds:datastoreItem xmlns:ds="http://schemas.openxmlformats.org/officeDocument/2006/customXml" ds:itemID="{CDBA44F7-FF5A-406F-9EAB-460A22F965ED}">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E481A43-D471-4B3B-98F8-127DB7B284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140</vt:i4>
      </vt:variant>
      <vt:variant>
        <vt:lpstr>Named Ranges</vt:lpstr>
      </vt:variant>
      <vt:variant>
        <vt:i4>11</vt:i4>
      </vt:variant>
    </vt:vector>
  </HeadingPairs>
  <TitlesOfParts>
    <vt:vector size="151" baseType="lpstr">
      <vt:lpstr>Cover </vt:lpstr>
      <vt:lpstr>ILA 201 Questions and Solutions</vt:lpstr>
      <vt:lpstr>Fall 2024--&gt;</vt:lpstr>
      <vt:lpstr>F24 Q1(a),(b) Question</vt:lpstr>
      <vt:lpstr>F24 Q2(a)i,(c)i,ii Question</vt:lpstr>
      <vt:lpstr>F24 Q3(b) Question</vt:lpstr>
      <vt:lpstr>F24 Q3(b) Solution</vt:lpstr>
      <vt:lpstr>F24 Q4(a),(c) Question</vt:lpstr>
      <vt:lpstr>F24 Q4 Solution</vt:lpstr>
      <vt:lpstr>F24 Q5(a)i,(b)i,ii Question</vt:lpstr>
      <vt:lpstr>F24 Q5 Solution</vt:lpstr>
      <vt:lpstr>F24 Q6(a) Question</vt:lpstr>
      <vt:lpstr>F24 Q6(a) Solution</vt:lpstr>
      <vt:lpstr>F24 Q8(b) Question</vt:lpstr>
      <vt:lpstr>F24 Q8 Solution</vt:lpstr>
      <vt:lpstr>Spring 2024-&gt;</vt:lpstr>
      <vt:lpstr>S24 Q1(b),(c) Question</vt:lpstr>
      <vt:lpstr>S24 Q1 Solution</vt:lpstr>
      <vt:lpstr>S24 Q2(a) i_ii Question</vt:lpstr>
      <vt:lpstr>S24 Q3(c) Question (NLR)</vt:lpstr>
      <vt:lpstr>S24 Q4(b) Question</vt:lpstr>
      <vt:lpstr>S24 Q4 Solution</vt:lpstr>
      <vt:lpstr>S24 Q5(c)i_ii_iii Question(NLR)</vt:lpstr>
      <vt:lpstr>S24 Q6(a),(b),(c)i_ii Question</vt:lpstr>
      <vt:lpstr>S24 Q8(a) ii, (b) Question</vt:lpstr>
      <vt:lpstr>S24 Q9(a) Question (NLR)</vt:lpstr>
      <vt:lpstr>Fall 2023-&gt;</vt:lpstr>
      <vt:lpstr>F23 Q1(b) i_ii</vt:lpstr>
      <vt:lpstr>F23 Q2(a)(b)</vt:lpstr>
      <vt:lpstr>F23 Q3(a)(b)(c)</vt:lpstr>
      <vt:lpstr>F23 Q3(a) Solution</vt:lpstr>
      <vt:lpstr>F23 Q3(b) Solution</vt:lpstr>
      <vt:lpstr>F23 Q3(c) Solutions</vt:lpstr>
      <vt:lpstr>F23 Q4(a) i_ii(NLR)</vt:lpstr>
      <vt:lpstr>F23 Q4(a) Solution(NLR)</vt:lpstr>
      <vt:lpstr>F23 Q5(d)i</vt:lpstr>
      <vt:lpstr>F23 Q6(b)</vt:lpstr>
      <vt:lpstr>F23 Q6(b) Solution</vt:lpstr>
      <vt:lpstr>F23 Q7(c) i_ii</vt:lpstr>
      <vt:lpstr>F23 Q8(a)i_ii,(b)(NLR)</vt:lpstr>
      <vt:lpstr>F23 Q9(a)i_ii(NLR)</vt:lpstr>
      <vt:lpstr>F23 Q10(b)i-v (NLR)</vt:lpstr>
      <vt:lpstr>Spring 2023 --&gt;</vt:lpstr>
      <vt:lpstr>S23 Q2(b) i_ii</vt:lpstr>
      <vt:lpstr>S23 Q3(a),(b) i_ii</vt:lpstr>
      <vt:lpstr>S23 Q4(b) i_ii</vt:lpstr>
      <vt:lpstr>S23 Q4 Solution</vt:lpstr>
      <vt:lpstr>S23 Q5(a)</vt:lpstr>
      <vt:lpstr>S23 Q5 Solution</vt:lpstr>
      <vt:lpstr>S23 Q6(a) (NLR)</vt:lpstr>
      <vt:lpstr>S23 Q7(b),(c)i-iv</vt:lpstr>
      <vt:lpstr>S23 Q8(a) i_ii, (b) i_ii (NLR)</vt:lpstr>
      <vt:lpstr>S23 Q9(b (NLR))</vt:lpstr>
      <vt:lpstr>Fall 2022 --&gt;</vt:lpstr>
      <vt:lpstr>F22 Q1(a)(c) (NLR)</vt:lpstr>
      <vt:lpstr>F22 Q4(c)</vt:lpstr>
      <vt:lpstr>F22 Q6(b) (NLR)</vt:lpstr>
      <vt:lpstr>F22 Q7(b)(c)</vt:lpstr>
      <vt:lpstr>F22 Q9(b)</vt:lpstr>
      <vt:lpstr>F22 Q9(b) Solution</vt:lpstr>
      <vt:lpstr>F22 Q10(a)</vt:lpstr>
      <vt:lpstr>F22 Q10(a) Solution</vt:lpstr>
      <vt:lpstr>Spring 2022 --&gt;</vt:lpstr>
      <vt:lpstr>S22 2(d) Question</vt:lpstr>
      <vt:lpstr>S22 3(b) Question</vt:lpstr>
      <vt:lpstr>S22 4(d) Question</vt:lpstr>
      <vt:lpstr>S22 5(a)(i) Question</vt:lpstr>
      <vt:lpstr>S22 5(a)(ii) Question</vt:lpstr>
      <vt:lpstr>S22 5(a)(iii) Question</vt:lpstr>
      <vt:lpstr>S22 5(a)(i)(ii)(iii) Solution</vt:lpstr>
      <vt:lpstr>S22 6(a) Question</vt:lpstr>
      <vt:lpstr>S22 6(b) Question</vt:lpstr>
      <vt:lpstr>S22 6(c)(i) Question</vt:lpstr>
      <vt:lpstr>S22 6(c)(ii) Question</vt:lpstr>
      <vt:lpstr>S22 6(c)(iii) Question</vt:lpstr>
      <vt:lpstr>S22 6(c)(iv) Question</vt:lpstr>
      <vt:lpstr>S22 6(a)(b)(c) Solution</vt:lpstr>
      <vt:lpstr>S22 7(a) Question</vt:lpstr>
      <vt:lpstr>S22 8(b) Question</vt:lpstr>
      <vt:lpstr>S22 9(b)(i) Question</vt:lpstr>
      <vt:lpstr>S22 9(b)(ii) Question</vt:lpstr>
      <vt:lpstr>S22 9(b)(iii) Question</vt:lpstr>
      <vt:lpstr>Fall 2021- --&gt;</vt:lpstr>
      <vt:lpstr>F21 2(a) Question</vt:lpstr>
      <vt:lpstr>F21 2(b) Question</vt:lpstr>
      <vt:lpstr>F21 2(a)(b) Solution</vt:lpstr>
      <vt:lpstr>F21 3(a) Question</vt:lpstr>
      <vt:lpstr>F21 3(c) Question</vt:lpstr>
      <vt:lpstr>F21 3(d) Question</vt:lpstr>
      <vt:lpstr>F21 4(a) Question</vt:lpstr>
      <vt:lpstr>F21 4(b)(i) Question</vt:lpstr>
      <vt:lpstr>F21 4(b)(ii) Question</vt:lpstr>
      <vt:lpstr>F21 5(a)(i) Question</vt:lpstr>
      <vt:lpstr>F21 5(a)(ii) Question</vt:lpstr>
      <vt:lpstr>F21 5(a)(iii) Question</vt:lpstr>
      <vt:lpstr>F21 5(a)(iv) Question</vt:lpstr>
      <vt:lpstr>F21 6(a)(i) Question</vt:lpstr>
      <vt:lpstr>F21 6(a)(ii) Question</vt:lpstr>
      <vt:lpstr>F21 7(c) Question</vt:lpstr>
      <vt:lpstr>F21 8(c) Question</vt:lpstr>
      <vt:lpstr>F21 9(b) Question</vt:lpstr>
      <vt:lpstr>F21 9(c)(i) Question</vt:lpstr>
      <vt:lpstr>F21 9(c)(ii) Question</vt:lpstr>
      <vt:lpstr>F21 10(a)(i) Question</vt:lpstr>
      <vt:lpstr>F21 10(a)(ii) Question</vt:lpstr>
      <vt:lpstr>F21 10(b)(ii) Question</vt:lpstr>
      <vt:lpstr>Spring 2021 --&gt;</vt:lpstr>
      <vt:lpstr>S21 1(c) Question</vt:lpstr>
      <vt:lpstr>S21 3(a)(i) Question</vt:lpstr>
      <vt:lpstr>S21 3(a)(ii) Question</vt:lpstr>
      <vt:lpstr>S21 4(b)(i) Question</vt:lpstr>
      <vt:lpstr>S21 4(b)(ii) Question</vt:lpstr>
      <vt:lpstr>S21 5(a) Question</vt:lpstr>
      <vt:lpstr>S21 5(d)(i) Question</vt:lpstr>
      <vt:lpstr>S21 5(d)(ii) Question</vt:lpstr>
      <vt:lpstr>S21 5(d)(iii) Question</vt:lpstr>
      <vt:lpstr>S21 5(d)(iv) Question</vt:lpstr>
      <vt:lpstr>S21 5(e) Question</vt:lpstr>
      <vt:lpstr>S21 6(a) Question</vt:lpstr>
      <vt:lpstr>S21 6(b) Question</vt:lpstr>
      <vt:lpstr>S21 8(d)(i) Question</vt:lpstr>
      <vt:lpstr>S21 8(d)(ii) Question</vt:lpstr>
      <vt:lpstr>S21 9(b)(i) Question</vt:lpstr>
      <vt:lpstr>S21 9(b)(ii) Question</vt:lpstr>
      <vt:lpstr>S21 10(b)(i) Question</vt:lpstr>
      <vt:lpstr>S21 10(b)(ii) Question</vt:lpstr>
      <vt:lpstr>Fall 2020 --&gt;</vt:lpstr>
      <vt:lpstr>F20 Q1 (d) Question</vt:lpstr>
      <vt:lpstr>F20 Q2 (b) Question</vt:lpstr>
      <vt:lpstr>F20 Q2 (c)(i) Question</vt:lpstr>
      <vt:lpstr>F20 3(d)(ii) Question</vt:lpstr>
      <vt:lpstr>F20 4(d) Question</vt:lpstr>
      <vt:lpstr>F20 5(a)(i)(ii) Question</vt:lpstr>
      <vt:lpstr>F20 6(b) Question</vt:lpstr>
      <vt:lpstr>F20 9(b)(i)Question</vt:lpstr>
      <vt:lpstr>F20 9(b)(ii)Question</vt:lpstr>
      <vt:lpstr>F20 10 (b)(i) Question</vt:lpstr>
      <vt:lpstr>F20 10 (b)(ii) Question</vt:lpstr>
      <vt:lpstr>F20 10 (c)(i) Question</vt:lpstr>
      <vt:lpstr>F20 10 (c)(ii) Question</vt:lpstr>
      <vt:lpstr>'F23 Q8(a)i_ii,(b)(NLR)'!_Hlk125885798</vt:lpstr>
      <vt:lpstr>'F21 5(a)(iii) Question'!_Hlk75344667</vt:lpstr>
      <vt:lpstr>'F21 9(b) Question'!_Hlk76899649</vt:lpstr>
      <vt:lpstr>'F21 9(c)(i) Question'!_Hlk76899649</vt:lpstr>
      <vt:lpstr>'F21 9(c)(ii) Question'!_Hlk76899649</vt:lpstr>
      <vt:lpstr>'F21 9(b) Question'!_Hlk76899653</vt:lpstr>
      <vt:lpstr>'F21 9(c)(i) Question'!_Hlk76899653</vt:lpstr>
      <vt:lpstr>'F21 9(c)(ii) Question'!_Hlk76899653</vt:lpstr>
      <vt:lpstr>'S23 Q7(b),(c)i-iv'!OLE_LINK1</vt:lpstr>
      <vt:lpstr>'F23 Q2(a)(b)'!OLE_LINK2</vt:lpstr>
      <vt:lpstr>'S24 Q4 Solution'!Print_Area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Davis</dc:creator>
  <cp:lastModifiedBy>Douglas Norris</cp:lastModifiedBy>
  <cp:lastPrinted>2018-04-06T02:32:32Z</cp:lastPrinted>
  <dcterms:created xsi:type="dcterms:W3CDTF">2013-02-07T13:09:41Z</dcterms:created>
  <dcterms:modified xsi:type="dcterms:W3CDTF">2025-06-27T20:23:35Z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0x010100F6AE639BB4E74542A43DE6E767DBCE18</vt:lpwstr>
  </property>
  <property fmtid="{D5CDD505-2E9C-101B-9397-08002B2CF9AE}" pid="3" name="SV_QUERY_LIST_4F35BF76-6C0D-4D9B-82B2-816C12CF3733">
    <vt:lpwstr>empty_477D106A-C0D6-4607-AEBD-E2C9D60EA279</vt:lpwstr>
  </property>
  <property fmtid="{D5CDD505-2E9C-101B-9397-08002B2CF9AE}" pid="4" name="MSIP_Label_af49516a-7525-4936-8880-b1dc1e580865_Enabled">
    <vt:lpwstr>true</vt:lpwstr>
  </property>
  <property fmtid="{D5CDD505-2E9C-101B-9397-08002B2CF9AE}" pid="5" name="MSIP_Label_af49516a-7525-4936-8880-b1dc1e580865_SiteId">
    <vt:lpwstr>3bea478c-1684-4a8c-8e85-045ec54ba430</vt:lpwstr>
  </property>
  <property fmtid="{D5CDD505-2E9C-101B-9397-08002B2CF9AE}" pid="6" name="MSIP_Label_af49516a-7525-4936-8880-b1dc1e580865_Owner">
    <vt:lpwstr>Gifford.Nick@principal.com</vt:lpwstr>
  </property>
  <property fmtid="{D5CDD505-2E9C-101B-9397-08002B2CF9AE}" pid="7" name="MSIP_Label_af49516a-7525-4936-8880-b1dc1e580865_SetDate">
    <vt:lpwstr>2021-12-22T13:37:53Z</vt:lpwstr>
  </property>
  <property fmtid="{D5CDD505-2E9C-101B-9397-08002B2CF9AE}" pid="8" name="MSIP_Label_af49516a-7525-4936-8880-b1dc1e580865_Name">
    <vt:lpwstr>Non-visible label</vt:lpwstr>
  </property>
  <property fmtid="{D5CDD505-2E9C-101B-9397-08002B2CF9AE}" pid="9" name="MSIP_Label_af49516a-7525-4936-8880-b1dc1e580865_Application">
    <vt:lpwstr>Microsoft Azure Information Protection</vt:lpwstr>
  </property>
  <property fmtid="{D5CDD505-2E9C-101B-9397-08002B2CF9AE}" pid="10" name="MSIP_Label_af49516a-7525-4936-8880-b1dc1e580865_Parent">
    <vt:lpwstr>3b4f6feb-bc60-48e1-9a65-8f26ae8b4956</vt:lpwstr>
  </property>
  <property fmtid="{D5CDD505-2E9C-101B-9397-08002B2CF9AE}" pid="11" name="MSIP_Label_af49516a-7525-4936-8880-b1dc1e580865_Extended_MSFT_Method">
    <vt:lpwstr>Manual</vt:lpwstr>
  </property>
  <property fmtid="{D5CDD505-2E9C-101B-9397-08002B2CF9AE}" pid="12" name="MSIP_Label_af49516a-7525-4936-8880-b1dc1e580865_Method">
    <vt:lpwstr>Privileged</vt:lpwstr>
  </property>
  <property fmtid="{D5CDD505-2E9C-101B-9397-08002B2CF9AE}" pid="13" name="MSIP_Label_af49516a-7525-4936-8880-b1dc1e580865_ContentBits">
    <vt:lpwstr>0</vt:lpwstr>
  </property>
  <property fmtid="{D5CDD505-2E9C-101B-9397-08002B2CF9AE}" pid="14" name="MSIP_Label_8f0b5d98-aa4b-42ad-b5be-1e75bbcbb7d7_Enabled">
    <vt:lpwstr>true</vt:lpwstr>
  </property>
  <property fmtid="{D5CDD505-2E9C-101B-9397-08002B2CF9AE}" pid="15" name="MSIP_Label_8f0b5d98-aa4b-42ad-b5be-1e75bbcbb7d7_SetDate">
    <vt:lpwstr>2025-06-01T18:21:50Z</vt:lpwstr>
  </property>
  <property fmtid="{D5CDD505-2E9C-101B-9397-08002B2CF9AE}" pid="16" name="MSIP_Label_8f0b5d98-aa4b-42ad-b5be-1e75bbcbb7d7_Method">
    <vt:lpwstr>Standard</vt:lpwstr>
  </property>
  <property fmtid="{D5CDD505-2E9C-101B-9397-08002B2CF9AE}" pid="17" name="MSIP_Label_8f0b5d98-aa4b-42ad-b5be-1e75bbcbb7d7_Name">
    <vt:lpwstr>Internal-pilot</vt:lpwstr>
  </property>
  <property fmtid="{D5CDD505-2E9C-101B-9397-08002B2CF9AE}" pid="18" name="MSIP_Label_8f0b5d98-aa4b-42ad-b5be-1e75bbcbb7d7_SiteId">
    <vt:lpwstr>a651e8f0-93d2-41c2-88b6-e8c5a1ad2375</vt:lpwstr>
  </property>
  <property fmtid="{D5CDD505-2E9C-101B-9397-08002B2CF9AE}" pid="19" name="MSIP_Label_8f0b5d98-aa4b-42ad-b5be-1e75bbcbb7d7_ActionId">
    <vt:lpwstr>8fbd8cf3-5f80-41db-bb55-d13440e2c2c6</vt:lpwstr>
  </property>
  <property fmtid="{D5CDD505-2E9C-101B-9397-08002B2CF9AE}" pid="20" name="MSIP_Label_8f0b5d98-aa4b-42ad-b5be-1e75bbcbb7d7_ContentBits">
    <vt:lpwstr>0</vt:lpwstr>
  </property>
  <property fmtid="{D5CDD505-2E9C-101B-9397-08002B2CF9AE}" pid="21" name="MSIP_Label_8f0b5d98-aa4b-42ad-b5be-1e75bbcbb7d7_Tag">
    <vt:lpwstr>10, 3, 0, 1</vt:lpwstr>
  </property>
</Properties>
</file>