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societyofactuaries-my.sharepoint.com/personal/dnorris_soa_org/Documents/Documents/Projects/2025-26 Curriculum/FINAL CURATED PAST EXAMS/Fully Assembled/"/>
    </mc:Choice>
  </mc:AlternateContent>
  <xr:revisionPtr revIDLastSave="12" documentId="8_{9DF168B6-A72D-487A-BAC6-9DA22F833A61}" xr6:coauthVersionLast="47" xr6:coauthVersionMax="47" xr10:uidLastSave="{5DF9FEC7-8A20-41AF-A9A6-875BFC2F8E9A}"/>
  <bookViews>
    <workbookView xWindow="28680" yWindow="-120" windowWidth="38640" windowHeight="21120" xr2:uid="{BA09CA01-205F-40F3-9CDD-33E2AAE4D1CE}"/>
  </bookViews>
  <sheets>
    <sheet name="Cover " sheetId="19" r:id="rId1"/>
    <sheet name="F20 Question 6 (b) Quest" sheetId="2" r:id="rId2"/>
    <sheet name="F20 Question 6 (b) Sol" sheetId="1" r:id="rId3"/>
    <sheet name="S21 Question 2 (a) Quest" sheetId="3" r:id="rId4"/>
    <sheet name="S21 Question 2(a) Sol" sheetId="4" r:id="rId5"/>
    <sheet name="S21 Question 3 (d) Quest" sheetId="5" r:id="rId6"/>
    <sheet name="S21 Question 3(d) Sol" sheetId="6" r:id="rId7"/>
    <sheet name="S21 Question 5 (b) Quest" sheetId="7" r:id="rId8"/>
    <sheet name="S21 Question 5 (b) Sol" sheetId="8" r:id="rId9"/>
    <sheet name="S22 Question 8(a) Quest" sheetId="9" r:id="rId10"/>
    <sheet name="S22 Question 8(a) Sol" sheetId="10" r:id="rId11"/>
    <sheet name="S23 Question 5 (a) (ii) Quest" sheetId="12" r:id="rId12"/>
    <sheet name="S23 Question 5 (a) (ii) Sol" sheetId="11" r:id="rId13"/>
    <sheet name="F24 Question 2 (c) Quest" sheetId="16" r:id="rId14"/>
    <sheet name="F24 Question 2 (c) Sol" sheetId="13" r:id="rId15"/>
    <sheet name="F24 Question 5 (c) Quest" sheetId="17" r:id="rId16"/>
    <sheet name="F24 Question 5 (c) Sol" sheetId="14" r:id="rId17"/>
    <sheet name="F24 Question 5 (d) Quest" sheetId="18" r:id="rId18"/>
    <sheet name="F24 Question 5 (d) Sol" sheetId="15" r:id="rId19"/>
  </sheets>
  <externalReferences>
    <externalReference r:id="rId20"/>
    <externalReference r:id="rId21"/>
    <externalReference r:id="rId22"/>
    <externalReference r:id="rId23"/>
  </externalReferences>
  <definedNames>
    <definedName name="adm_charge">'S22 Question 8(a) Sol'!$C$2</definedName>
    <definedName name="Allocations">#REF!</definedName>
    <definedName name="CognitiveLevels" localSheetId="12">'[1]syllabus list'!$B$88:$B$91</definedName>
    <definedName name="CognitiveLevels">'[2]syllabus list'!$B$87:$B$90</definedName>
    <definedName name="guar_charge">'S22 Question 8(a) Sol'!$C$3</definedName>
    <definedName name="Hurdle_Rate">'[3]BG-2-2020 calc'!$K$13</definedName>
    <definedName name="Life_Y1_Benefits">'F20 Question 6 (b) Quest'!$B$11</definedName>
    <definedName name="Life_Y1_Comm">'F20 Question 6 (b) Quest'!$B$9</definedName>
    <definedName name="Life_Y1_Exp">'F20 Question 6 (b) Quest'!$B$8</definedName>
    <definedName name="Life_Y1_InvInc">'F20 Question 6 (b) Quest'!$B$12</definedName>
    <definedName name="Life_Y1_Prem">'F20 Question 6 (b) Quest'!$B$7</definedName>
    <definedName name="Life_Y1_Reserve">'F20 Question 6 (b) Quest'!$B$10</definedName>
    <definedName name="Life_Y2_Benefits">'F20 Question 6 (b) Quest'!$C$11</definedName>
    <definedName name="Life_Y2_Comm">'F20 Question 6 (b) Quest'!$C$9</definedName>
    <definedName name="Life_Y2_Exp">'F20 Question 6 (b) Quest'!$C$8</definedName>
    <definedName name="Life_Y2_InvInc">'F20 Question 6 (b) Quest'!$C$12</definedName>
    <definedName name="Life_Y2_Prem">'F20 Question 6 (b) Quest'!$C$7</definedName>
    <definedName name="Life_Y2_Reserve">'F20 Question 6 (b) Quest'!$C$10</definedName>
    <definedName name="LOutcomeList" localSheetId="12">'[1]syllabus list'!$A$88:$A$92</definedName>
    <definedName name="LOutcomeList">'[2]syllabus list'!$A$87:$A$91</definedName>
    <definedName name="prem">'S22 Question 8(a) Sol'!$C$1</definedName>
    <definedName name="_xlnm.Print_Area" localSheetId="2">'F20 Question 6 (b) Sol'!$A$1:$G$67</definedName>
    <definedName name="Q_part">#REF!</definedName>
    <definedName name="Q_sources" localSheetId="12">[1]Rubric!$C$9:$C$16</definedName>
    <definedName name="Q_sources">'[2]BL-1-2020'!$C$9:$C$16</definedName>
    <definedName name="Reins_Y1_Allowance">'F20 Question 6 (b) Quest'!$B$15</definedName>
    <definedName name="Reins_Y1_ModCoInt">'F20 Question 6 (b) Quest'!$B$16</definedName>
    <definedName name="Reins_Y2_Allowance">'F20 Question 6 (b) Quest'!$C$15</definedName>
    <definedName name="Reins_Y2_ModCoInt">'F20 Question 6 (b) Quest'!$C$16</definedName>
    <definedName name="SyllabusListing" localSheetId="12">'[1]syllabus list'!$B$4:$B$86</definedName>
    <definedName name="SyllabusListing">'[2]syllabus list'!$B$4:$B$86</definedName>
    <definedName name="Total">#REF!</definedName>
    <definedName name="wd_pct">'S22 Question 8(a) Sol'!$C$4</definedName>
    <definedName name="Year" localSheetId="12">[1]instructions!$E$2</definedName>
    <definedName name="Year">[3]Instructions!$E$2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1" i="18" l="1"/>
  <c r="C31" i="18"/>
  <c r="D25" i="18"/>
  <c r="C25" i="18"/>
  <c r="D20" i="18"/>
  <c r="D33" i="18" s="1"/>
  <c r="C20" i="18"/>
  <c r="C33" i="18" s="1"/>
  <c r="D31" i="17"/>
  <c r="C31" i="17"/>
  <c r="D25" i="17"/>
  <c r="C25" i="17"/>
  <c r="D20" i="17"/>
  <c r="D33" i="17" s="1"/>
  <c r="C20" i="17"/>
  <c r="C33" i="17" s="1"/>
  <c r="C98" i="15" l="1"/>
  <c r="C99" i="15" s="1"/>
  <c r="C94" i="15"/>
  <c r="D93" i="15" s="1"/>
  <c r="D94" i="15" s="1"/>
  <c r="F93" i="15"/>
  <c r="C93" i="15"/>
  <c r="G87" i="15"/>
  <c r="H87" i="15" s="1"/>
  <c r="F87" i="15"/>
  <c r="G86" i="15"/>
  <c r="H86" i="15" s="1"/>
  <c r="F86" i="15"/>
  <c r="G85" i="15"/>
  <c r="G88" i="15" s="1"/>
  <c r="F85" i="15"/>
  <c r="H84" i="15"/>
  <c r="G84" i="15"/>
  <c r="F84" i="15"/>
  <c r="F88" i="15" s="1"/>
  <c r="D82" i="15"/>
  <c r="C82" i="15"/>
  <c r="F81" i="15"/>
  <c r="H81" i="15" s="1"/>
  <c r="H80" i="15"/>
  <c r="G80" i="15"/>
  <c r="F80" i="15"/>
  <c r="F82" i="15" s="1"/>
  <c r="F76" i="15"/>
  <c r="G75" i="15"/>
  <c r="F74" i="15"/>
  <c r="H73" i="15"/>
  <c r="G72" i="15"/>
  <c r="F72" i="15"/>
  <c r="C33" i="15"/>
  <c r="D31" i="15"/>
  <c r="D33" i="15" s="1"/>
  <c r="C31" i="15"/>
  <c r="D25" i="15"/>
  <c r="C25" i="15"/>
  <c r="D20" i="15"/>
  <c r="C20" i="15"/>
  <c r="C113" i="14"/>
  <c r="C112" i="14"/>
  <c r="C102" i="14"/>
  <c r="C101" i="14"/>
  <c r="C114" i="14" s="1"/>
  <c r="D85" i="14"/>
  <c r="C85" i="14"/>
  <c r="D79" i="14"/>
  <c r="D78" i="14"/>
  <c r="C78" i="14"/>
  <c r="C79" i="14" s="1"/>
  <c r="D71" i="14"/>
  <c r="C71" i="14"/>
  <c r="D68" i="14"/>
  <c r="C68" i="14"/>
  <c r="C73" i="14" s="1"/>
  <c r="C87" i="14" s="1"/>
  <c r="D31" i="14"/>
  <c r="C31" i="14"/>
  <c r="D25" i="14"/>
  <c r="C25" i="14"/>
  <c r="C33" i="14" s="1"/>
  <c r="D20" i="14"/>
  <c r="D33" i="14" s="1"/>
  <c r="C20" i="14"/>
  <c r="D45" i="13"/>
  <c r="D44" i="13"/>
  <c r="D43" i="13"/>
  <c r="D42" i="13"/>
  <c r="D41" i="13"/>
  <c r="F40" i="13"/>
  <c r="E40" i="13"/>
  <c r="E41" i="13" s="1"/>
  <c r="E42" i="13" s="1"/>
  <c r="E43" i="13" s="1"/>
  <c r="E44" i="13" s="1"/>
  <c r="E45" i="13" s="1"/>
  <c r="D40" i="13"/>
  <c r="C40" i="13"/>
  <c r="D37" i="13"/>
  <c r="D36" i="13"/>
  <c r="D35" i="13"/>
  <c r="D34" i="13"/>
  <c r="D33" i="13"/>
  <c r="C41" i="13" s="1"/>
  <c r="C42" i="13" l="1"/>
  <c r="C43" i="13" s="1"/>
  <c r="C90" i="14"/>
  <c r="D72" i="14"/>
  <c r="C44" i="13"/>
  <c r="C45" i="13" s="1"/>
  <c r="F90" i="15"/>
  <c r="F94" i="15" s="1"/>
  <c r="H82" i="15"/>
  <c r="C104" i="14"/>
  <c r="C108" i="14"/>
  <c r="C109" i="14" s="1"/>
  <c r="H75" i="15"/>
  <c r="G81" i="15"/>
  <c r="G82" i="15" s="1"/>
  <c r="F41" i="13"/>
  <c r="F42" i="13" s="1"/>
  <c r="F43" i="13" s="1"/>
  <c r="F44" i="13" s="1"/>
  <c r="F45" i="13" s="1"/>
  <c r="H72" i="15"/>
  <c r="H85" i="15"/>
  <c r="H88" i="15" s="1"/>
  <c r="G93" i="15" l="1"/>
  <c r="H93" i="15"/>
  <c r="H74" i="15"/>
  <c r="G74" i="15"/>
  <c r="G76" i="15" s="1"/>
  <c r="G90" i="15" s="1"/>
  <c r="H76" i="15"/>
  <c r="H90" i="15" s="1"/>
  <c r="C92" i="14"/>
  <c r="C96" i="14" s="1"/>
  <c r="C111" i="14"/>
  <c r="C115" i="14" s="1"/>
  <c r="C117" i="14" s="1"/>
  <c r="D73" i="14"/>
  <c r="D87" i="14" s="1"/>
  <c r="H94" i="15" l="1"/>
  <c r="G94" i="15"/>
  <c r="C17" i="11" l="1"/>
  <c r="F14" i="11"/>
  <c r="F13" i="11"/>
  <c r="E13" i="11"/>
  <c r="D13" i="11"/>
  <c r="F12" i="11"/>
  <c r="E12" i="11"/>
  <c r="E14" i="11" s="1"/>
  <c r="H16" i="11" s="1"/>
  <c r="D12" i="11"/>
  <c r="D14" i="11" s="1"/>
  <c r="H17" i="11" s="1"/>
  <c r="C12" i="11"/>
  <c r="C14" i="11" s="1"/>
  <c r="C15" i="11" l="1"/>
  <c r="C18" i="11" s="1"/>
  <c r="E15" i="11"/>
  <c r="H15" i="11"/>
  <c r="H18" i="11" s="1"/>
  <c r="D15" i="11"/>
  <c r="C20" i="10" l="1"/>
  <c r="D20" i="10" s="1"/>
  <c r="C28" i="10"/>
  <c r="D28" i="10" s="1"/>
  <c r="E28" i="10" l="1"/>
  <c r="F28" i="10" s="1"/>
  <c r="C29" i="10" s="1"/>
  <c r="E20" i="10"/>
  <c r="F20" i="10" s="1"/>
  <c r="C21" i="10" s="1"/>
  <c r="D21" i="10" s="1"/>
  <c r="C49" i="8"/>
  <c r="C48" i="8"/>
  <c r="C51" i="8" s="1"/>
  <c r="C44" i="8"/>
  <c r="C43" i="8"/>
  <c r="C42" i="8"/>
  <c r="C46" i="8" s="1"/>
  <c r="C41" i="8"/>
  <c r="F5" i="6"/>
  <c r="F6" i="6" s="1"/>
  <c r="F7" i="6" s="1"/>
  <c r="F8" i="6" s="1"/>
  <c r="F4" i="6"/>
  <c r="D4" i="6"/>
  <c r="C23" i="4"/>
  <c r="C18" i="4"/>
  <c r="C19" i="4" s="1"/>
  <c r="G17" i="4"/>
  <c r="F17" i="4"/>
  <c r="E17" i="4"/>
  <c r="D17" i="4"/>
  <c r="C17" i="4"/>
  <c r="F16" i="4"/>
  <c r="E16" i="4"/>
  <c r="G15" i="4"/>
  <c r="F15" i="4"/>
  <c r="E15" i="4"/>
  <c r="D15" i="4"/>
  <c r="C15" i="4"/>
  <c r="G14" i="4"/>
  <c r="G16" i="4" s="1"/>
  <c r="G20" i="4" s="1"/>
  <c r="F14" i="4"/>
  <c r="E14" i="4"/>
  <c r="D14" i="4"/>
  <c r="C14" i="4"/>
  <c r="G13" i="4"/>
  <c r="G18" i="4" s="1"/>
  <c r="G19" i="4" s="1"/>
  <c r="F13" i="4"/>
  <c r="F18" i="4" s="1"/>
  <c r="F19" i="4" s="1"/>
  <c r="E13" i="4"/>
  <c r="E18" i="4" s="1"/>
  <c r="E19" i="4" s="1"/>
  <c r="D13" i="4"/>
  <c r="D16" i="4" s="1"/>
  <c r="C13" i="4"/>
  <c r="C16" i="4" s="1"/>
  <c r="C20" i="4" s="1"/>
  <c r="E21" i="10" l="1"/>
  <c r="F21" i="10"/>
  <c r="C22" i="10" s="1"/>
  <c r="D29" i="10"/>
  <c r="E20" i="4"/>
  <c r="C53" i="8"/>
  <c r="B22" i="8" s="1"/>
  <c r="F20" i="4"/>
  <c r="E7" i="6"/>
  <c r="G7" i="6" s="1"/>
  <c r="D18" i="4"/>
  <c r="D19" i="4" s="1"/>
  <c r="D20" i="4" s="1"/>
  <c r="C22" i="4" s="1"/>
  <c r="C24" i="4" s="1"/>
  <c r="E4" i="6"/>
  <c r="G4" i="6" s="1"/>
  <c r="E8" i="6"/>
  <c r="G8" i="6" s="1"/>
  <c r="D5" i="6"/>
  <c r="D6" i="6" s="1"/>
  <c r="D7" i="6" s="1"/>
  <c r="D8" i="6" s="1"/>
  <c r="E5" i="6"/>
  <c r="G5" i="6" s="1"/>
  <c r="E29" i="10" l="1"/>
  <c r="F29" i="10" s="1"/>
  <c r="C30" i="10" s="1"/>
  <c r="D30" i="10" s="1"/>
  <c r="D22" i="10"/>
  <c r="E6" i="6"/>
  <c r="G6" i="6" s="1"/>
  <c r="E30" i="10" l="1"/>
  <c r="F30" i="10" s="1"/>
  <c r="C31" i="10" s="1"/>
  <c r="E22" i="10"/>
  <c r="F22" i="10" s="1"/>
  <c r="C23" i="10" s="1"/>
  <c r="D23" i="10" s="1"/>
  <c r="C30" i="1"/>
  <c r="E23" i="10" l="1"/>
  <c r="F23" i="10"/>
  <c r="C24" i="10" s="1"/>
  <c r="D24" i="10" s="1"/>
  <c r="E24" i="10" s="1"/>
  <c r="D31" i="10"/>
  <c r="C44" i="1"/>
  <c r="E31" i="10" l="1"/>
  <c r="F31" i="10" s="1"/>
  <c r="C32" i="10" s="1"/>
  <c r="D32" i="10" s="1"/>
  <c r="E32" i="10" s="1"/>
  <c r="F24" i="10"/>
  <c r="F61" i="1"/>
  <c r="F63" i="1" s="1"/>
  <c r="E61" i="1"/>
  <c r="E63" i="1" s="1"/>
  <c r="C62" i="1"/>
  <c r="B62" i="1"/>
  <c r="C61" i="1"/>
  <c r="B61" i="1"/>
  <c r="C29" i="1"/>
  <c r="B29" i="1"/>
  <c r="C45" i="1"/>
  <c r="B45" i="1"/>
  <c r="F32" i="10" l="1"/>
  <c r="B63" i="1"/>
  <c r="C63" i="1"/>
  <c r="C74" i="1"/>
  <c r="B74" i="1"/>
  <c r="F79" i="1"/>
  <c r="E79" i="1"/>
  <c r="C79" i="1"/>
  <c r="B79" i="1"/>
  <c r="C82" i="1"/>
  <c r="B82" i="1"/>
  <c r="B31" i="1"/>
  <c r="B32" i="1"/>
  <c r="B46" i="1" l="1"/>
  <c r="E56" i="1"/>
  <c r="C31" i="1"/>
  <c r="C32" i="1" s="1"/>
  <c r="B84" i="1"/>
  <c r="C84" i="1"/>
  <c r="C55" i="1"/>
  <c r="B55" i="1"/>
  <c r="C53" i="1"/>
  <c r="F52" i="1" s="1"/>
  <c r="F54" i="1" s="1"/>
  <c r="B53" i="1"/>
  <c r="E52" i="1" s="1"/>
  <c r="E54" i="1" s="1"/>
  <c r="C52" i="1"/>
  <c r="B52" i="1"/>
  <c r="C41" i="1"/>
  <c r="C40" i="1"/>
  <c r="B41" i="1"/>
  <c r="E40" i="1" s="1"/>
  <c r="E42" i="1" s="1"/>
  <c r="E48" i="1" s="1"/>
  <c r="B40" i="1"/>
  <c r="E58" i="1" l="1"/>
  <c r="E65" i="1" s="1"/>
  <c r="C46" i="1"/>
  <c r="F56" i="1"/>
  <c r="F58" i="1" s="1"/>
  <c r="C42" i="1"/>
  <c r="F40" i="1"/>
  <c r="F42" i="1" s="1"/>
  <c r="F48" i="1" s="1"/>
  <c r="B42" i="1"/>
  <c r="B48" i="1" s="1"/>
  <c r="B54" i="1"/>
  <c r="B58" i="1" s="1"/>
  <c r="C54" i="1"/>
  <c r="C58" i="1" s="1"/>
  <c r="F65" i="1" l="1"/>
  <c r="E81" i="1"/>
  <c r="E82" i="1" s="1"/>
  <c r="E72" i="1"/>
  <c r="E74" i="1" s="1"/>
  <c r="B65" i="1"/>
  <c r="C43" i="1" l="1"/>
  <c r="C48" i="1" s="1"/>
  <c r="C65" i="1" s="1"/>
  <c r="F72" i="1"/>
  <c r="F74" i="1" s="1"/>
  <c r="F81" i="1"/>
  <c r="F82" i="1" s="1"/>
  <c r="F84" i="1" s="1"/>
  <c r="E8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 Na</author>
  </authors>
  <commentList>
    <comment ref="C19" authorId="0" shapeId="0" xr:uid="{7B1424B9-1156-429B-A9C3-71046390918B}">
      <text>
        <r>
          <rPr>
            <sz val="9"/>
            <color indexed="81"/>
            <rFont val="Tahoma"/>
            <family val="2"/>
          </rPr>
          <t>Credit given for correctly calculating the AV</t>
        </r>
      </text>
    </comment>
    <comment ref="D19" authorId="0" shapeId="0" xr:uid="{8CB7F128-879F-485B-98A2-C4B5295038C8}">
      <text>
        <r>
          <rPr>
            <sz val="9"/>
            <color indexed="81"/>
            <rFont val="Tahoma"/>
            <family val="2"/>
          </rPr>
          <t>Credit given for correctly determining the withdrawal benefit base</t>
        </r>
      </text>
    </comment>
    <comment ref="E19" authorId="0" shapeId="0" xr:uid="{0A92547B-05C5-4CC2-81E0-9F61ACC2DFD9}">
      <text>
        <r>
          <rPr>
            <sz val="9"/>
            <color indexed="81"/>
            <rFont val="Tahoma"/>
            <family val="2"/>
          </rPr>
          <t>Credit given for correctly determining the withdrawal</t>
        </r>
      </text>
    </comment>
    <comment ref="F19" authorId="0" shapeId="0" xr:uid="{3FCD47E5-F865-408A-9A2C-2492AEF78949}">
      <text>
        <r>
          <rPr>
            <sz val="9"/>
            <color indexed="81"/>
            <rFont val="Tahoma"/>
            <family val="2"/>
          </rPr>
          <t>Credit given for correctly calculating the AV</t>
        </r>
      </text>
    </comment>
    <comment ref="C27" authorId="0" shapeId="0" xr:uid="{F4C9EAB3-8AF3-44E4-B1A8-4066DB081576}">
      <text>
        <r>
          <rPr>
            <sz val="9"/>
            <color indexed="81"/>
            <rFont val="Tahoma"/>
            <family val="2"/>
          </rPr>
          <t>Credit given for correctly calculating the AV</t>
        </r>
      </text>
    </comment>
    <comment ref="D27" authorId="0" shapeId="0" xr:uid="{96CFE3E1-4DC4-4118-8373-7FE4DA33ABA0}">
      <text>
        <r>
          <rPr>
            <sz val="9"/>
            <color indexed="81"/>
            <rFont val="Tahoma"/>
            <family val="2"/>
          </rPr>
          <t>Credit given for correctly determining the withdrawal benefit base</t>
        </r>
      </text>
    </comment>
    <comment ref="E27" authorId="0" shapeId="0" xr:uid="{790E2ADE-220F-4D98-9B9A-500491AAFA8F}">
      <text>
        <r>
          <rPr>
            <sz val="9"/>
            <color indexed="81"/>
            <rFont val="Tahoma"/>
            <family val="2"/>
          </rPr>
          <t>Credit given for correctly determining the withdrawal</t>
        </r>
      </text>
    </comment>
    <comment ref="F27" authorId="0" shapeId="0" xr:uid="{44AE8B23-904F-40AC-885F-7C36F8A8DD67}">
      <text>
        <r>
          <rPr>
            <sz val="9"/>
            <color indexed="81"/>
            <rFont val="Tahoma"/>
            <family val="2"/>
          </rPr>
          <t>Credit given for correctly calculating the AV</t>
        </r>
      </text>
    </comment>
  </commentList>
</comments>
</file>

<file path=xl/sharedStrings.xml><?xml version="1.0" encoding="utf-8"?>
<sst xmlns="http://schemas.openxmlformats.org/spreadsheetml/2006/main" count="719" uniqueCount="346">
  <si>
    <t>Question 6 (b)</t>
  </si>
  <si>
    <t>(b) (7 points) Life Co is entering a Mod-Co reinsurance arrangement with Reinsurance Inc.</t>
  </si>
  <si>
    <t>Life Co</t>
  </si>
  <si>
    <t>Year 1</t>
  </si>
  <si>
    <t>Year 2</t>
  </si>
  <si>
    <t>Premiums</t>
  </si>
  <si>
    <t>Expenses</t>
  </si>
  <si>
    <t>Commissions</t>
  </si>
  <si>
    <t>Reserves</t>
  </si>
  <si>
    <t>Benefits Paid</t>
  </si>
  <si>
    <t>Investment Income</t>
  </si>
  <si>
    <t>Reinsurance Co</t>
  </si>
  <si>
    <t>Allowance</t>
  </si>
  <si>
    <t>Mod-Co Interest Rate</t>
  </si>
  <si>
    <t>(i) (4 points) Construct Life Co's Gain from Operations statement for years 1 and 2 under the reinsurance agreement.</t>
  </si>
  <si>
    <t>Gain from Operations</t>
  </si>
  <si>
    <t>Revenue</t>
  </si>
  <si>
    <t>Premium</t>
  </si>
  <si>
    <t>Gross</t>
  </si>
  <si>
    <t>Ceded</t>
  </si>
  <si>
    <t>Net Premium</t>
  </si>
  <si>
    <t>Investment Income on Surplus</t>
  </si>
  <si>
    <t>Investment Income on Reserves</t>
  </si>
  <si>
    <t>Reinsurance Allowance</t>
  </si>
  <si>
    <t>Mod-Co Adjustment</t>
  </si>
  <si>
    <t>Experience Refund</t>
  </si>
  <si>
    <t>Total Revenue</t>
  </si>
  <si>
    <t>Reinsurance Inc</t>
  </si>
  <si>
    <t>Assumed Coinsurance %</t>
  </si>
  <si>
    <t>Benefits</t>
  </si>
  <si>
    <t>Claims</t>
  </si>
  <si>
    <t>Net Claims</t>
  </si>
  <si>
    <t>Increase in Reserves</t>
  </si>
  <si>
    <t>Total Benefits</t>
  </si>
  <si>
    <t>Total Expenses</t>
  </si>
  <si>
    <t>Ending Reserves</t>
  </si>
  <si>
    <t>Beginning Reserves</t>
  </si>
  <si>
    <t>Interest on Beginning Reserves</t>
  </si>
  <si>
    <t>(ii) (3 points) Construct Reinsurance Inc's Balance Sheet for years 1 and 2 under the reinsurance agreement.</t>
  </si>
  <si>
    <t>Balance Sheet</t>
  </si>
  <si>
    <t>Assets</t>
  </si>
  <si>
    <t>Invested Assets</t>
  </si>
  <si>
    <t>Accounts Receivable</t>
  </si>
  <si>
    <t>Total Assets</t>
  </si>
  <si>
    <t>Liabilities</t>
  </si>
  <si>
    <t>Accounts Payable</t>
  </si>
  <si>
    <t>Total Liabilities</t>
  </si>
  <si>
    <t>Surplus</t>
  </si>
  <si>
    <t>Total Surplus</t>
  </si>
  <si>
    <t>Total Liabilities &amp; Surplus</t>
  </si>
  <si>
    <t>Reinsurance Co.</t>
  </si>
  <si>
    <t>(i) (4 points)  Construct Life Co’s Gain from Operations statement for years 1 and 2 under the reinsurance agreement.</t>
  </si>
  <si>
    <t>ANSWER:</t>
  </si>
  <si>
    <t>(ii) (3 points)  Construct Reinsurance Inc’s Balance Sheet for years 1 and 2 under the reinsurance agreement.</t>
  </si>
  <si>
    <t>Question 2 (a)</t>
  </si>
  <si>
    <t>You are given the following illustration for the new product:</t>
  </si>
  <si>
    <t>Year</t>
  </si>
  <si>
    <t>Statutory Reserve</t>
  </si>
  <si>
    <t>Tax Reserve</t>
  </si>
  <si>
    <t>Tax Rate</t>
  </si>
  <si>
    <t>Discount Rate</t>
  </si>
  <si>
    <t>Assume:</t>
  </si>
  <si>
    <t>• There are no permanent differences between the statutory reserve and tax reserve.</t>
  </si>
  <si>
    <t>• There is immediate deductibility of losses.</t>
  </si>
  <si>
    <t>• All cashflows are in the middle of the year.</t>
  </si>
  <si>
    <t>• 100% Shock lapse at year 5</t>
  </si>
  <si>
    <t>(a) (3 points)  Calculate the after-tax profit margin.  Show all work.</t>
  </si>
  <si>
    <t>After-tax profit margin:</t>
  </si>
  <si>
    <t>Responses for parts (b) and (c) are to be provided in the Word document.</t>
  </si>
  <si>
    <t>Reserve</t>
  </si>
  <si>
    <t>Inv Income</t>
  </si>
  <si>
    <t>ProdCashFlow</t>
  </si>
  <si>
    <t>&lt;- accurate calculation gets 3 points</t>
  </si>
  <si>
    <t>ResIncr</t>
  </si>
  <si>
    <t>Pre-Tax profit</t>
  </si>
  <si>
    <t>TaxResIncr</t>
  </si>
  <si>
    <t>Taxable Income</t>
  </si>
  <si>
    <t>Tax</t>
  </si>
  <si>
    <t>AT earnings</t>
  </si>
  <si>
    <t>PV AT profit</t>
  </si>
  <si>
    <t>PV prem</t>
  </si>
  <si>
    <t>Question 3 (d)</t>
  </si>
  <si>
    <t>VA Pricing Model Review</t>
  </si>
  <si>
    <t>Policyholder</t>
  </si>
  <si>
    <t>Issue Age</t>
  </si>
  <si>
    <t>Fund Allocation</t>
  </si>
  <si>
    <t>Additional death</t>
  </si>
  <si>
    <t>fixed income funds</t>
  </si>
  <si>
    <t>equity funds</t>
  </si>
  <si>
    <t>benefit option elected</t>
  </si>
  <si>
    <t>Greater of step-up &amp; 5% roll-up</t>
  </si>
  <si>
    <t>None</t>
  </si>
  <si>
    <t>Product Features and Pricing Assumptions:</t>
  </si>
  <si>
    <t>• To improve product profitability, surrender charges are set slightly above the industry average and agent commissions are set slightly</t>
  </si>
  <si>
    <t>below the industry average</t>
  </si>
  <si>
    <t>• The expense assumption is based on the DXF’s fixed annuity expense study (i.e. 60 per FA contract on an annual basis) and is set at</t>
  </si>
  <si>
    <t>annually per VA contract because VA expenses are expected to be lower than FA expenses.</t>
  </si>
  <si>
    <t>• The mortality assumption is the same as the fixed annuity block since the VA will be sold to the same customer base as the FA</t>
  </si>
  <si>
    <t>• Annuitization rates are assumed to be immaterial, because the FA experience demonstrated that very few policyholders choose to annuitize</t>
  </si>
  <si>
    <t>• Return of premium guaranteed minimum death benefit is standard on all policies.</t>
  </si>
  <si>
    <t>Results</t>
  </si>
  <si>
    <t>• When running a stochastic analysis, the cost of the death benefit guarantees was 0.05% of the account value per year for the return of premium benefit</t>
  </si>
  <si>
    <t>and 0.15% of the account value per year for the step-up benefit.  These cost assumptions were vetted and reconstructed by the Financial Risk</t>
  </si>
  <si>
    <t>Management area using their option pricing model.</t>
  </si>
  <si>
    <t>Cost for return of premium death benefit guarantee (per AV per year)</t>
  </si>
  <si>
    <t>Cost for step-up benefit (per AV per year)</t>
  </si>
  <si>
    <t>• In one of the stochastic scenarios, where the first five years' annual equity fund returns were -1%, 6%, 7%, 9%, 1%, the model's calculated values</t>
  </si>
  <si>
    <t>for death benefits were demonstrated to be consistent with the product design.</t>
  </si>
  <si>
    <t>Year 1 equity fund return</t>
  </si>
  <si>
    <t>Year 2 equity fund return</t>
  </si>
  <si>
    <t>Year 3 equity fund return</t>
  </si>
  <si>
    <t>Year 4 equity fund return</t>
  </si>
  <si>
    <t>Year 5 equity fund return</t>
  </si>
  <si>
    <t>• The policyholder fund allocation assumption appears to be appropriate given that the company has seen similar elections in brokerage accounts of</t>
  </si>
  <si>
    <t xml:space="preserve">other products.  </t>
  </si>
  <si>
    <t>• This information will be useful for the Investments area for setting up their hedging strategy.</t>
  </si>
  <si>
    <t>(d) (3 points)  You are given the following additional information for Policyholder 1 (i.e Age 40) in the table above:</t>
  </si>
  <si>
    <t>• An initial premium of</t>
  </si>
  <si>
    <t>• No withdrawals</t>
  </si>
  <si>
    <t>Calculate the Death Benefit for each of the first five policy years.  Show all work.</t>
  </si>
  <si>
    <t>Year 1 DB:</t>
  </si>
  <si>
    <t>Year 2 DB:</t>
  </si>
  <si>
    <t>Year 3 DB:</t>
  </si>
  <si>
    <t>Year 4 DB:</t>
  </si>
  <si>
    <t>Year 5 DB:</t>
  </si>
  <si>
    <t>Return</t>
  </si>
  <si>
    <t>Account Value</t>
  </si>
  <si>
    <t>Step up</t>
  </si>
  <si>
    <t>5% Rollup</t>
  </si>
  <si>
    <t>Death Benefit</t>
  </si>
  <si>
    <t>Question 5 (b)</t>
  </si>
  <si>
    <t>You are given the following information for KXW Life:</t>
  </si>
  <si>
    <t>Life Business</t>
  </si>
  <si>
    <t>Annuity Business</t>
  </si>
  <si>
    <t>PV of future profits</t>
  </si>
  <si>
    <t>Time value of financial options and guarantees</t>
  </si>
  <si>
    <t>Mortality risk costs</t>
  </si>
  <si>
    <t>Regulatory capital requirement</t>
  </si>
  <si>
    <t>Required Capital</t>
  </si>
  <si>
    <t>Additional taxes and investment costs incurred by shareholders</t>
  </si>
  <si>
    <t>Market value of capital allocated to the business</t>
  </si>
  <si>
    <t>Free surplus</t>
  </si>
  <si>
    <t>(b) (4 points)  Calculate the Market Consistent Embedded Value (MCEV) of KXW. Show all work.</t>
  </si>
  <si>
    <t>MCEV:</t>
  </si>
  <si>
    <t>Model Solution</t>
  </si>
  <si>
    <t>Formulas</t>
  </si>
  <si>
    <t>MCEV formula -&gt;</t>
  </si>
  <si>
    <t>MCEV = Value of in-force (VIF) + adjusted net worth (ANW)</t>
  </si>
  <si>
    <t>VIF formula -&gt;</t>
  </si>
  <si>
    <t>Value of in-force business (VIF) =</t>
  </si>
  <si>
    <t xml:space="preserve">  Present value of future profits (PVFP)</t>
  </si>
  <si>
    <t>- Time value of financial options and guarantees (TVOG)</t>
  </si>
  <si>
    <t>- Frictional costs (FC) of required capital, such as additional taxes &amp; investment costs incurred by shareholders</t>
  </si>
  <si>
    <t>- Cost of residual non-hedgeable financial and insurance risks (CNHR), such as long-dated options or mortality risk</t>
  </si>
  <si>
    <t>ANW formula -&gt;</t>
  </si>
  <si>
    <t>ANW = Required capital (RC) + free surplus (FS)</t>
  </si>
  <si>
    <t>Required Capital for ANW formula -&gt;</t>
  </si>
  <si>
    <t>Required capital = Market value of capital allocated to the business - Free Surplus (Regulatory solvency capital is irrelevant)</t>
  </si>
  <si>
    <t>Calcs</t>
  </si>
  <si>
    <t>VIF components</t>
  </si>
  <si>
    <t>PVFP</t>
  </si>
  <si>
    <t>TVOG</t>
  </si>
  <si>
    <t>FC</t>
  </si>
  <si>
    <t>CNHR</t>
  </si>
  <si>
    <t>VIF calc</t>
  </si>
  <si>
    <t>VIF</t>
  </si>
  <si>
    <t>ANW components</t>
  </si>
  <si>
    <t>RC</t>
  </si>
  <si>
    <t>&lt;- RC calc</t>
  </si>
  <si>
    <t>FS</t>
  </si>
  <si>
    <t xml:space="preserve">ANW calc </t>
  </si>
  <si>
    <t>ANW</t>
  </si>
  <si>
    <t>MCEV Calc</t>
  </si>
  <si>
    <t>MCEV</t>
  </si>
  <si>
    <t>Permitted Withdrawal Benefit</t>
  </si>
  <si>
    <t>Scenario 2</t>
  </si>
  <si>
    <t>Scenario 1</t>
  </si>
  <si>
    <t>Show work below</t>
  </si>
  <si>
    <t>(a)</t>
  </si>
  <si>
    <t>ANSWERS:</t>
  </si>
  <si>
    <t xml:space="preserve">two scenarios’ market returns on the variable subaccount. </t>
  </si>
  <si>
    <t xml:space="preserve">policyholder, assuming the benefit is elected in year 1 for each of the following </t>
  </si>
  <si>
    <r>
      <t xml:space="preserve">(a) </t>
    </r>
    <r>
      <rPr>
        <i/>
        <sz val="11"/>
        <color theme="1"/>
        <rFont val="Times New Roman"/>
        <family val="1"/>
      </rPr>
      <t>(2 points)</t>
    </r>
    <r>
      <rPr>
        <sz val="11"/>
        <color theme="1"/>
        <rFont val="Times New Roman"/>
        <family val="1"/>
      </rPr>
      <t xml:space="preserve">  Calculate the permitted withdrawal benefit in each year for a </t>
    </r>
  </si>
  <si>
    <r>
      <t>Annual Withdrawal Percentage (</t>
    </r>
    <r>
      <rPr>
        <i/>
        <sz val="12"/>
        <color theme="1"/>
        <rFont val="Times New Roman"/>
        <family val="1"/>
      </rPr>
      <t>x</t>
    </r>
    <r>
      <rPr>
        <i/>
        <vertAlign val="subscript"/>
        <sz val="12"/>
        <color theme="1"/>
        <rFont val="Times New Roman"/>
        <family val="1"/>
      </rPr>
      <t>wl</t>
    </r>
    <r>
      <rPr>
        <sz val="12"/>
        <color theme="1"/>
        <rFont val="Times New Roman"/>
        <family val="1"/>
      </rPr>
      <t>)</t>
    </r>
  </si>
  <si>
    <r>
      <t>Guarantee Charge (</t>
    </r>
    <r>
      <rPr>
        <i/>
        <sz val="12"/>
        <color theme="1"/>
        <rFont val="Times New Roman"/>
        <family val="1"/>
      </rPr>
      <t>φ</t>
    </r>
    <r>
      <rPr>
        <i/>
        <vertAlign val="superscript"/>
        <sz val="12"/>
        <color theme="1"/>
        <rFont val="Times New Roman"/>
        <family val="1"/>
      </rPr>
      <t>guar</t>
    </r>
    <r>
      <rPr>
        <sz val="12"/>
        <color theme="1"/>
        <rFont val="Times New Roman"/>
        <family val="1"/>
      </rPr>
      <t>) – charged continuously</t>
    </r>
  </si>
  <si>
    <r>
      <t>Administration Charge (</t>
    </r>
    <r>
      <rPr>
        <i/>
        <sz val="12"/>
        <color theme="1"/>
        <rFont val="Times New Roman"/>
        <family val="1"/>
      </rPr>
      <t>φ</t>
    </r>
    <r>
      <rPr>
        <i/>
        <vertAlign val="superscript"/>
        <sz val="12"/>
        <color theme="1"/>
        <rFont val="Times New Roman"/>
        <family val="1"/>
      </rPr>
      <t>adm</t>
    </r>
    <r>
      <rPr>
        <sz val="12"/>
        <color theme="1"/>
        <rFont val="Times New Roman"/>
        <family val="1"/>
      </rPr>
      <t>) – charged continuously</t>
    </r>
  </si>
  <si>
    <t>Initial Premium</t>
  </si>
  <si>
    <t xml:space="preserve">policy. </t>
  </si>
  <si>
    <t xml:space="preserve">of each policy year.  The table below has additional product information for a sample </t>
  </si>
  <si>
    <t xml:space="preserve">The initial benefit base is equal to the premium.  Withdrawals are only allowed at the end </t>
  </si>
  <si>
    <r>
      <t>of the account value in year t (AVt) and the prior year withdrawal benefit base (WBB</t>
    </r>
    <r>
      <rPr>
        <sz val="10"/>
        <color theme="1"/>
        <rFont val="Times New Roman"/>
        <family val="1"/>
      </rPr>
      <t>t-1</t>
    </r>
    <r>
      <rPr>
        <sz val="12"/>
        <color theme="1"/>
        <rFont val="Times New Roman"/>
        <family val="1"/>
      </rPr>
      <t xml:space="preserve">).  </t>
    </r>
  </si>
  <si>
    <t xml:space="preserve">withdrawal benefit base in year t (WBBt) is a lookback ratchet design equal to the greater </t>
  </si>
  <si>
    <t xml:space="preserve">Annuity with a Guaranteed Living Withdrawal Benefit (VA with a GLWB).  The </t>
  </si>
  <si>
    <t xml:space="preserve">MSQ Insurance Company sells only annuity products. It offers a Variable </t>
  </si>
  <si>
    <t>Responses for part (a) are to be provided in this tab.</t>
  </si>
  <si>
    <t>Responses for parts  (b), (c), and (d) are to be provided in the Word document.</t>
  </si>
  <si>
    <t>QUESTION 8 (a)</t>
  </si>
  <si>
    <t>AV+</t>
  </si>
  <si>
    <t>W</t>
  </si>
  <si>
    <t>WBB</t>
  </si>
  <si>
    <t>AV-</t>
  </si>
  <si>
    <t>SCENARIO 2</t>
  </si>
  <si>
    <t>SCENARIO 1</t>
  </si>
  <si>
    <t>W(t) = x(wl) x WBB(t)</t>
  </si>
  <si>
    <t>WBB(t) = max(WBB(t-1), AV(t)), WBB(0) = Prem</t>
  </si>
  <si>
    <t>AV(t)+ = AV(t)- - W(t)</t>
  </si>
  <si>
    <t>AV(t)- = AV(t-1) * S(t+1)/S(t) * exp(-φadm - φguar)</t>
  </si>
  <si>
    <r>
      <t>Annual Withdrawal Percentage (</t>
    </r>
    <r>
      <rPr>
        <i/>
        <sz val="12"/>
        <rFont val="Times New Roman"/>
        <family val="1"/>
      </rPr>
      <t>x</t>
    </r>
    <r>
      <rPr>
        <i/>
        <vertAlign val="subscript"/>
        <sz val="12"/>
        <rFont val="Times New Roman"/>
        <family val="1"/>
      </rPr>
      <t>wl</t>
    </r>
    <r>
      <rPr>
        <sz val="12"/>
        <rFont val="Times New Roman"/>
        <family val="1"/>
      </rPr>
      <t>)</t>
    </r>
  </si>
  <si>
    <r>
      <t>Guarantee Charge (</t>
    </r>
    <r>
      <rPr>
        <i/>
        <sz val="12"/>
        <rFont val="Calibri"/>
        <family val="2"/>
      </rPr>
      <t>φ</t>
    </r>
    <r>
      <rPr>
        <i/>
        <vertAlign val="superscript"/>
        <sz val="12"/>
        <rFont val="Times New Roman"/>
        <family val="1"/>
      </rPr>
      <t>guar</t>
    </r>
    <r>
      <rPr>
        <sz val="12"/>
        <rFont val="Times New Roman"/>
        <family val="1"/>
      </rPr>
      <t>)</t>
    </r>
  </si>
  <si>
    <r>
      <t>Administration Charge (</t>
    </r>
    <r>
      <rPr>
        <i/>
        <sz val="12"/>
        <rFont val="Calibri"/>
        <family val="2"/>
      </rPr>
      <t>φ</t>
    </r>
    <r>
      <rPr>
        <i/>
        <vertAlign val="superscript"/>
        <sz val="12"/>
        <rFont val="Times New Roman"/>
        <family val="1"/>
      </rPr>
      <t>adm</t>
    </r>
    <r>
      <rPr>
        <sz val="12"/>
        <rFont val="Times New Roman"/>
        <family val="1"/>
      </rPr>
      <t>)</t>
    </r>
  </si>
  <si>
    <t>Risk capital cost</t>
  </si>
  <si>
    <t>Risk-free discount rate, assumed for all maturities</t>
  </si>
  <si>
    <t>Time</t>
  </si>
  <si>
    <t>At inception</t>
  </si>
  <si>
    <t>EOY 1</t>
  </si>
  <si>
    <t>EOY 2</t>
  </si>
  <si>
    <t>EOY 3</t>
  </si>
  <si>
    <t>Risk capital</t>
  </si>
  <si>
    <t>Net cash flow payment</t>
  </si>
  <si>
    <t>Net cash flow after frictional costs</t>
  </si>
  <si>
    <t>Replicating portfolio composition:</t>
  </si>
  <si>
    <t>Economic liabilities</t>
  </si>
  <si>
    <t>Zero coupons of three years' duration with a market value of $51.33</t>
  </si>
  <si>
    <t>Borrowing/short position in two-year zero coupons with a market value of $-6.66</t>
  </si>
  <si>
    <t>Initial payment received by company after expenses</t>
  </si>
  <si>
    <t>Borrowing/short position in one-year zero coupons with a market value of $-16.39</t>
  </si>
  <si>
    <t>Economic value of contract</t>
  </si>
  <si>
    <t>Replicating portfolio has a market value of $28.28</t>
  </si>
  <si>
    <t>Question 5 (a) ii</t>
  </si>
  <si>
    <t xml:space="preserve">(a) (ii)  (3 points)  You are provided with the following cash flows of a level term policy, payable over three years as shown in the table below: </t>
  </si>
  <si>
    <t>--</t>
  </si>
  <si>
    <t>Risk Capital</t>
  </si>
  <si>
    <t>Furthermore, assume the following simplifications:</t>
  </si>
  <si>
    <r>
      <rPr>
        <sz val="12"/>
        <color theme="1"/>
        <rFont val="Calibri"/>
        <family val="2"/>
      </rPr>
      <t xml:space="preserve">•  </t>
    </r>
    <r>
      <rPr>
        <sz val="12"/>
        <color theme="1"/>
        <rFont val="Times New Roman"/>
        <family val="1"/>
      </rPr>
      <t>All future cash flows are paid at the end of each year</t>
    </r>
  </si>
  <si>
    <r>
      <rPr>
        <sz val="12"/>
        <color theme="1"/>
        <rFont val="Calibri"/>
        <family val="2"/>
      </rPr>
      <t xml:space="preserve">•  </t>
    </r>
    <r>
      <rPr>
        <sz val="12"/>
        <color theme="1"/>
        <rFont val="Times New Roman"/>
        <family val="1"/>
      </rPr>
      <t>Only frictional risk capital costs are considered</t>
    </r>
  </si>
  <si>
    <r>
      <rPr>
        <sz val="12"/>
        <color theme="1"/>
        <rFont val="Calibri"/>
        <family val="2"/>
      </rPr>
      <t xml:space="preserve">•  </t>
    </r>
    <r>
      <rPr>
        <sz val="12"/>
        <color theme="1"/>
        <rFont val="Times New Roman"/>
        <family val="1"/>
      </rPr>
      <t>Risk capital costs amount to 3% of risk capital at the start of each year</t>
    </r>
  </si>
  <si>
    <r>
      <rPr>
        <sz val="12"/>
        <color theme="1"/>
        <rFont val="Calibri"/>
        <family val="2"/>
      </rPr>
      <t xml:space="preserve">•  </t>
    </r>
    <r>
      <rPr>
        <sz val="12"/>
        <color theme="1"/>
        <rFont val="Times New Roman"/>
        <family val="1"/>
      </rPr>
      <t>A risk-free discount rate of 4% per annum can be used for all maturities</t>
    </r>
  </si>
  <si>
    <t>Calculate the economic value of this contract at inception using zero coupon bonds to construct a replicating portfolio for this contract’s cash flows.</t>
  </si>
  <si>
    <t>5 (a) (ii)</t>
  </si>
  <si>
    <t>Responses for parts (a) (i) is to be provided in the Word document.</t>
  </si>
  <si>
    <t>Responses for (b) is to be provided on the other tab in this Excel workbook.</t>
  </si>
  <si>
    <t>Question 2 (c)</t>
  </si>
  <si>
    <t>(c) (3 points)  You are given the following information for four policies:</t>
  </si>
  <si>
    <t>Policy</t>
  </si>
  <si>
    <t>Product Type</t>
  </si>
  <si>
    <t>Investment Option</t>
  </si>
  <si>
    <t>Fixed Indexed Annuity</t>
  </si>
  <si>
    <t>70% participation strategy only, annual point-to-point</t>
  </si>
  <si>
    <t>Variable Annuity</t>
  </si>
  <si>
    <t>100% index fund</t>
  </si>
  <si>
    <t>4% cap, annual point-to-point</t>
  </si>
  <si>
    <t>Registered Index-Linked Annuity</t>
  </si>
  <si>
    <t>15% cap and 10% buffer, annual point-to-point</t>
  </si>
  <si>
    <r>
      <t>·</t>
    </r>
    <r>
      <rPr>
        <sz val="7"/>
        <color theme="1"/>
        <rFont val="Times New Roman"/>
        <family val="1"/>
      </rPr>
      <t xml:space="preserve">         </t>
    </r>
    <r>
      <rPr>
        <sz val="12"/>
        <color theme="1"/>
        <rFont val="Times New Roman"/>
        <family val="1"/>
      </rPr>
      <t>All investment options are tied directly to the S&amp;P 500 Index</t>
    </r>
  </si>
  <si>
    <r>
      <t>·</t>
    </r>
    <r>
      <rPr>
        <sz val="7"/>
        <color theme="1"/>
        <rFont val="Times New Roman"/>
        <family val="1"/>
      </rPr>
      <t xml:space="preserve">         </t>
    </r>
    <r>
      <rPr>
        <sz val="12"/>
        <color theme="1"/>
        <rFont val="Times New Roman"/>
        <family val="1"/>
      </rPr>
      <t>Assume no charges</t>
    </r>
  </si>
  <si>
    <t>S&amp;P 500 Index</t>
  </si>
  <si>
    <t xml:space="preserve">Calculate the account value progression through the end of year 5 for each of the </t>
  </si>
  <si>
    <t>four policies, assuming an initial deposit of 1,000. Show all work.</t>
  </si>
  <si>
    <t>(c)</t>
  </si>
  <si>
    <t>Index Return</t>
  </si>
  <si>
    <t>Responses for parts (a) and (b) are to be provided in the Word document.</t>
  </si>
  <si>
    <t>Question 5 (c)</t>
  </si>
  <si>
    <t>ABC Life, a US insurance company, issues a whole life policy:</t>
  </si>
  <si>
    <t>Face amount</t>
  </si>
  <si>
    <t>Annual premium rate per 1,000</t>
  </si>
  <si>
    <t>Annual policy fee</t>
  </si>
  <si>
    <r>
      <t>·</t>
    </r>
    <r>
      <rPr>
        <sz val="7"/>
        <color theme="1"/>
        <rFont val="Times New Roman"/>
        <family val="1"/>
      </rPr>
      <t xml:space="preserve">         </t>
    </r>
    <r>
      <rPr>
        <sz val="12"/>
        <color theme="1"/>
        <rFont val="Times New Roman"/>
        <family val="1"/>
      </rPr>
      <t>Premium tax rate is 2% for all years</t>
    </r>
  </si>
  <si>
    <r>
      <t>·</t>
    </r>
    <r>
      <rPr>
        <sz val="7"/>
        <color theme="1"/>
        <rFont val="Times New Roman"/>
        <family val="1"/>
      </rPr>
      <t xml:space="preserve">         </t>
    </r>
    <r>
      <rPr>
        <sz val="12"/>
        <color theme="1"/>
        <rFont val="Times New Roman"/>
        <family val="1"/>
      </rPr>
      <t>There are no surrenders, lapses, or deaths</t>
    </r>
  </si>
  <si>
    <r>
      <t>·</t>
    </r>
    <r>
      <rPr>
        <sz val="7"/>
        <color theme="1"/>
        <rFont val="Times New Roman"/>
        <family val="1"/>
      </rPr>
      <t xml:space="preserve">         </t>
    </r>
    <r>
      <rPr>
        <sz val="12"/>
        <color theme="1"/>
        <rFont val="Times New Roman"/>
        <family val="1"/>
      </rPr>
      <t>The accounting is on a US statutory basis</t>
    </r>
  </si>
  <si>
    <t>You are given:</t>
  </si>
  <si>
    <t>ABC Statutory Gain from Operations (no reinsurance)</t>
  </si>
  <si>
    <t>Surrenders</t>
  </si>
  <si>
    <t>Reserve Increase</t>
  </si>
  <si>
    <t>Acquisition</t>
  </si>
  <si>
    <t>Maintenance</t>
  </si>
  <si>
    <t>Premium Tax</t>
  </si>
  <si>
    <t>ABC is evaluating two reinsurance proposals from XYZ Re:</t>
  </si>
  <si>
    <r>
      <t>·</t>
    </r>
    <r>
      <rPr>
        <sz val="7"/>
        <color theme="1"/>
        <rFont val="Times New Roman"/>
        <family val="1"/>
      </rPr>
      <t xml:space="preserve">         </t>
    </r>
    <r>
      <rPr>
        <sz val="12"/>
        <color theme="1"/>
        <rFont val="Times New Roman"/>
        <family val="1"/>
      </rPr>
      <t>Proposal 1: 80% Coinsurance</t>
    </r>
  </si>
  <si>
    <r>
      <t>·</t>
    </r>
    <r>
      <rPr>
        <sz val="7"/>
        <color theme="1"/>
        <rFont val="Times New Roman"/>
        <family val="1"/>
      </rPr>
      <t xml:space="preserve">         </t>
    </r>
    <r>
      <rPr>
        <sz val="12"/>
        <color theme="1"/>
        <rFont val="Times New Roman"/>
        <family val="1"/>
      </rPr>
      <t>Proposal 2: YRT with an initial ceded face amount of 600,000</t>
    </r>
  </si>
  <si>
    <r>
      <t>·</t>
    </r>
    <r>
      <rPr>
        <sz val="7"/>
        <color theme="1"/>
        <rFont val="Times New Roman"/>
        <family val="1"/>
      </rPr>
      <t xml:space="preserve">         </t>
    </r>
    <r>
      <rPr>
        <sz val="12"/>
        <color theme="1"/>
        <rFont val="Times New Roman"/>
        <family val="1"/>
      </rPr>
      <t xml:space="preserve">XYZ Re acquisition expenses are 40 per ceded policy </t>
    </r>
  </si>
  <si>
    <r>
      <t>·</t>
    </r>
    <r>
      <rPr>
        <sz val="7"/>
        <color theme="1"/>
        <rFont val="Times New Roman"/>
        <family val="1"/>
      </rPr>
      <t xml:space="preserve">         </t>
    </r>
    <r>
      <rPr>
        <sz val="12"/>
        <color theme="1"/>
        <rFont val="Times New Roman"/>
        <family val="1"/>
      </rPr>
      <t>XYZ Re maintenance expenses are 20 per ceded policy annually</t>
    </r>
  </si>
  <si>
    <r>
      <t>·</t>
    </r>
    <r>
      <rPr>
        <sz val="7"/>
        <color theme="1"/>
        <rFont val="Times New Roman"/>
        <family val="1"/>
      </rPr>
      <t xml:space="preserve">         </t>
    </r>
    <r>
      <rPr>
        <sz val="12"/>
        <color theme="1"/>
        <rFont val="Times New Roman"/>
        <family val="1"/>
      </rPr>
      <t>ABC and XYZ Re each have an initial surplus of 1,000 and an investment rate of return of 8% in all years</t>
    </r>
  </si>
  <si>
    <r>
      <t>·</t>
    </r>
    <r>
      <rPr>
        <sz val="7"/>
        <color theme="1"/>
        <rFont val="Times New Roman"/>
        <family val="1"/>
      </rPr>
      <t xml:space="preserve">         </t>
    </r>
    <r>
      <rPr>
        <sz val="12"/>
        <color theme="1"/>
        <rFont val="Times New Roman"/>
        <family val="1"/>
      </rPr>
      <t>The reserves per unit are the same for the ceding company and the reinsurer</t>
    </r>
  </si>
  <si>
    <r>
      <t>·</t>
    </r>
    <r>
      <rPr>
        <sz val="7"/>
        <color theme="1"/>
        <rFont val="Times New Roman"/>
        <family val="1"/>
      </rPr>
      <t xml:space="preserve">         </t>
    </r>
    <r>
      <rPr>
        <sz val="12"/>
        <color theme="1"/>
        <rFont val="Times New Roman"/>
        <family val="1"/>
      </rPr>
      <t>NAAR is defined as face amount – mean reserves</t>
    </r>
  </si>
  <si>
    <t>Mean Reserves per 1,000</t>
  </si>
  <si>
    <t>YRT Mean Reserves per 1,000</t>
  </si>
  <si>
    <t>YRT Reinsurance Premium Rate per 1,000</t>
  </si>
  <si>
    <t>(c) (4 points)</t>
  </si>
  <si>
    <t xml:space="preserve">(i) Determine the minimum first year expense allowance as a percent of ceded premium that would be needed in Proposal 1 for ABC </t>
  </si>
  <si>
    <t>to avoid a negative Gain from Operations in year 1.  Show all work.</t>
  </si>
  <si>
    <t xml:space="preserve">(ii) Determine whether XYZ Re could afford to pay this first year expense allowance without exhausting all of its surplus in year 1.  </t>
  </si>
  <si>
    <t>Show all work.</t>
  </si>
  <si>
    <t>80% Co-Ins But No Expense Allownace</t>
  </si>
  <si>
    <t>80% Co-Ins With Expense Allowance</t>
  </si>
  <si>
    <t>(c) (i)</t>
  </si>
  <si>
    <t>ABC</t>
  </si>
  <si>
    <t>ABC Statutory Gain from Operations (80% Coinsurance)</t>
  </si>
  <si>
    <t>Gross Premiums</t>
  </si>
  <si>
    <t>Ceded Premiums</t>
  </si>
  <si>
    <t>Premium Tax Reimbursement from Reinsurer</t>
  </si>
  <si>
    <t>Ceded Reserve</t>
  </si>
  <si>
    <t>With Reinsurance but no expense allowance the gain would be:</t>
  </si>
  <si>
    <t>Thus need an allowance of 8,958 to make gain $0</t>
  </si>
  <si>
    <t>The expense allowance as a % of ceded premium is:</t>
  </si>
  <si>
    <t>Minimum first year expense allowance as a percent of ceded premium that would be needed in Proposal 1 for ABC to avoid a negative Gain from Operations in year 1</t>
  </si>
  <si>
    <t>(c) (ii)</t>
  </si>
  <si>
    <t>XYZ Re</t>
  </si>
  <si>
    <t>XYZ Statutory Gain from Operations (80% Coinsurance)</t>
  </si>
  <si>
    <t>XYZ has a surplus of 1000 at the start of year 1</t>
  </si>
  <si>
    <t>Its gain from operations is (478) which includes the funding of its 360 liability increase and payment of all expenses.</t>
  </si>
  <si>
    <t>Its surplus at the end of year 1 is 1000 + (-478) = 522</t>
  </si>
  <si>
    <t>Since it has a positive surplus at end of yr 1 yes it can afford the expense allowance of 8,958 without exhausting surplus</t>
  </si>
  <si>
    <t>Can XYZ Re afford to pay this first year expense allowance without exhausting all of its surplus in year 1? (Show work proving this answer in the lines above)</t>
  </si>
  <si>
    <t>Yes</t>
  </si>
  <si>
    <t>Responses for parts (a) and (b) is to be provided in the Word document.</t>
  </si>
  <si>
    <t>Responses for (d) is to be provided on another tab in this Excel workbook.</t>
  </si>
  <si>
    <t>Question 5 (d)</t>
  </si>
  <si>
    <t>(d) (4 points)</t>
  </si>
  <si>
    <t>ABC would like to avoid additional surplus strain in the first two policy years. To help meet this objective, ABC plans to ask XYZ Re</t>
  </si>
  <si>
    <t xml:space="preserve">to offer a ZFT scale (zero first year YRT premium) instead of the proposed premium scale, which requires an increase in the </t>
  </si>
  <si>
    <t xml:space="preserve">YRT rates in subsequent years to offset the cost.   </t>
  </si>
  <si>
    <t xml:space="preserve">Determine the maximum increase that ABC could accept in the second year YRT premium, as a percent of ceded face per 1,000.  </t>
  </si>
  <si>
    <t>(d)</t>
  </si>
  <si>
    <t>To avoid surplus strain means the surplus under the updated YRT rates should not be lower than the surplus without YRT (otherwise it would experience more strain than without reinsurance).</t>
  </si>
  <si>
    <t>No Reinsurance</t>
  </si>
  <si>
    <t>With ZFT YRT Reinsurance</t>
  </si>
  <si>
    <t>ABC Statutory Gain from Operations</t>
  </si>
  <si>
    <t>Year 2 (no yr2 ceded premium used for calculation)</t>
  </si>
  <si>
    <t>Year 2 (with max ceded premium)</t>
  </si>
  <si>
    <t>Surplus Beginning of Year</t>
  </si>
  <si>
    <t>Surplus End of Year</t>
  </si>
  <si>
    <t>Max ceded premium so that surplus in yr2 not lower with reinsurance than without (i.e. so that G94 = D94 by changing G73, this is shown in column H)</t>
  </si>
  <si>
    <t>Max increase ABC could accept as a % of ceded face per 1000</t>
  </si>
  <si>
    <t>Or said differently, max YRT premium rate yr 2 per 1000:</t>
  </si>
  <si>
    <t>Responses for (c) is to be provided on another tab in this Excel workbook.</t>
  </si>
  <si>
    <t>CURATED PAST EXAM EXCEL FILES</t>
  </si>
  <si>
    <t>o</t>
  </si>
  <si>
    <t xml:space="preserve">These curated past exam items are intended to allow candidates to focus on past SOA fellowship assessments. These items are organized by topic and learning objective with relevant learning outcomes, source materials, and candidate commentary identified. We have included items that are relevant in the new course structure, and where feasible we have made updates to questions to make them relevant. </t>
  </si>
  <si>
    <t>This file contains the Excel components of the curated past exam questions and solution as applicable.  Candidates should start with the PDF files associated with this course's curated past exams.</t>
  </si>
  <si>
    <t>Candidate solutions other than those presented in this material, if appropriate for the context, could receive full marks. For interpretation items, solutions presented in these documents are not necessarily the only valid solutions.</t>
  </si>
  <si>
    <t>Learning Outcome Statements and supporting syllabus materials may have changed since each exam was administered. New assessment items are developed from the current Learning Outcome Statements and syllabus materials. The inclusion in these curated past exam questions of material that is no longer current does not bring such material into scope for current assessments.</t>
  </si>
  <si>
    <t>Thus, while we have made our best effort and conducted multiple reviews, alignment with the current system or choice of classification may not be perfect. Candidates with questions or ideas for improvement may reach out to education@soa.org.  We expect to make updates annually.</t>
  </si>
  <si>
    <t>Version 2025-1</t>
  </si>
  <si>
    <t>Updated: July 8, 2025</t>
  </si>
  <si>
    <t xml:space="preserve">Copyright © Society of Actuaries </t>
  </si>
  <si>
    <t>ILA 101 - Pricing and Introduction to Valuation and Risk 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</si>
</sst>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4" formatCode="_(&quot;$&quot;* #,##0.00_);_(&quot;$&quot;* \(#,##0.00\);_(&quot;$&quot;* &quot;-&quot;??_);_(@_)"/>
    <numFmt numFmtId="43" formatCode="_(* #,##0.00_);_(* \(#,##0.00\);_(* &quot;-&quot;??_);_(@_)"/>
    <numFmt numFmtId="164" formatCode="_-* #,##0.00_-;\-* #,##0.00_-;_-* &quot;-&quot;??_-;_-@_-"/>
    <numFmt numFmtId="165" formatCode="_-* #,##0_-;\-* #,##0_-;_-* &quot;-&quot;??_-;_-@_-"/>
    <numFmt numFmtId="166" formatCode="_(&quot;$&quot;* #,##0_);_(&quot;$&quot;* \(#,##0\);_(&quot;$&quot;* &quot;-&quot;??_);_(@_)"/>
    <numFmt numFmtId="167" formatCode="_(* #,##0_);_(* \(#,##0\);_(* &quot;-&quot;??_);_(@_)"/>
    <numFmt numFmtId="168" formatCode="_(* #,##0.000000_);_(* \(#,##0.000000\);_(* &quot;-&quot;??_);_(@_)"/>
    <numFmt numFmtId="169" formatCode="#,##0.0"/>
  </numFmts>
  <fonts count="48">
    <font>
      <sz val="10"/>
      <color theme="1"/>
      <name val="FS Elliot Pro"/>
      <family val="2"/>
    </font>
    <font>
      <sz val="11"/>
      <color theme="1"/>
      <name val="Calibri"/>
      <family val="2"/>
      <scheme val="minor"/>
    </font>
    <font>
      <sz val="11"/>
      <color theme="1"/>
      <name val="Calibri"/>
      <family val="2"/>
      <scheme val="minor"/>
    </font>
    <font>
      <sz val="11"/>
      <color theme="1"/>
      <name val="Calibri"/>
      <family val="2"/>
      <scheme val="minor"/>
    </font>
    <font>
      <b/>
      <sz val="10"/>
      <color theme="1"/>
      <name val="FS Elliot Pro"/>
      <family val="3"/>
    </font>
    <font>
      <b/>
      <sz val="14"/>
      <color theme="1"/>
      <name val="FS Elliot Pro"/>
      <family val="3"/>
    </font>
    <font>
      <b/>
      <sz val="10"/>
      <color rgb="FF0070C0"/>
      <name val="FS Elliot Pro"/>
      <family val="3"/>
    </font>
    <font>
      <sz val="10"/>
      <color theme="1"/>
      <name val="FS Elliot Pro"/>
      <family val="3"/>
    </font>
    <font>
      <b/>
      <sz val="14"/>
      <color theme="1"/>
      <name val="Times New Roman"/>
      <family val="1"/>
    </font>
    <font>
      <sz val="12"/>
      <color theme="1"/>
      <name val="Times New Roman"/>
      <family val="1"/>
    </font>
    <font>
      <b/>
      <u/>
      <sz val="12"/>
      <color theme="1"/>
      <name val="Times New Roman"/>
      <family val="1"/>
    </font>
    <font>
      <b/>
      <sz val="11"/>
      <color theme="1"/>
      <name val="Calibri"/>
      <family val="2"/>
      <scheme val="minor"/>
    </font>
    <font>
      <b/>
      <sz val="12"/>
      <color theme="1"/>
      <name val="Times New Roman"/>
      <family val="1"/>
    </font>
    <font>
      <sz val="10"/>
      <name val="Arial"/>
      <family val="2"/>
    </font>
    <font>
      <sz val="12"/>
      <name val="Times New Roman"/>
      <family val="1"/>
    </font>
    <font>
      <b/>
      <sz val="10"/>
      <name val="Arial"/>
      <family val="2"/>
    </font>
    <font>
      <u/>
      <sz val="12"/>
      <color theme="1"/>
      <name val="Times New Roman"/>
      <family val="1"/>
    </font>
    <font>
      <u/>
      <sz val="10"/>
      <name val="Arial"/>
      <family val="2"/>
    </font>
    <font>
      <i/>
      <sz val="12"/>
      <color theme="1"/>
      <name val="Times New Roman"/>
      <family val="1"/>
    </font>
    <font>
      <i/>
      <sz val="11"/>
      <color theme="1"/>
      <name val="Calibri"/>
      <family val="2"/>
      <scheme val="minor"/>
    </font>
    <font>
      <sz val="11"/>
      <color theme="1"/>
      <name val="Times New Roman"/>
      <family val="1"/>
    </font>
    <font>
      <i/>
      <sz val="11"/>
      <color theme="1"/>
      <name val="Times New Roman"/>
      <family val="1"/>
    </font>
    <font>
      <i/>
      <vertAlign val="subscript"/>
      <sz val="12"/>
      <color theme="1"/>
      <name val="Times New Roman"/>
      <family val="1"/>
    </font>
    <font>
      <i/>
      <vertAlign val="superscript"/>
      <sz val="12"/>
      <color theme="1"/>
      <name val="Times New Roman"/>
      <family val="1"/>
    </font>
    <font>
      <sz val="10"/>
      <color theme="1"/>
      <name val="Times New Roman"/>
      <family val="1"/>
    </font>
    <font>
      <b/>
      <sz val="12"/>
      <color rgb="FF002060"/>
      <name val="Times New Roman"/>
      <family val="1"/>
    </font>
    <font>
      <b/>
      <sz val="14"/>
      <color rgb="FF002060"/>
      <name val="Times New Roman"/>
      <family val="1"/>
    </font>
    <font>
      <i/>
      <sz val="12"/>
      <name val="Times New Roman"/>
      <family val="1"/>
    </font>
    <font>
      <i/>
      <vertAlign val="subscript"/>
      <sz val="12"/>
      <name val="Times New Roman"/>
      <family val="1"/>
    </font>
    <font>
      <i/>
      <sz val="12"/>
      <name val="Calibri"/>
      <family val="2"/>
    </font>
    <font>
      <i/>
      <vertAlign val="superscript"/>
      <sz val="12"/>
      <name val="Times New Roman"/>
      <family val="1"/>
    </font>
    <font>
      <sz val="9"/>
      <color indexed="81"/>
      <name val="Tahoma"/>
      <family val="2"/>
    </font>
    <font>
      <sz val="10"/>
      <color theme="1"/>
      <name val="Arial"/>
      <family val="2"/>
    </font>
    <font>
      <b/>
      <sz val="10"/>
      <color theme="1"/>
      <name val="Arial"/>
      <family val="2"/>
    </font>
    <font>
      <i/>
      <sz val="10"/>
      <color theme="1"/>
      <name val="Arial"/>
      <family val="2"/>
    </font>
    <font>
      <sz val="12"/>
      <color theme="1"/>
      <name val="Calibri"/>
      <family val="2"/>
      <scheme val="minor"/>
    </font>
    <font>
      <sz val="12"/>
      <color theme="1"/>
      <name val="Times New Roman"/>
      <family val="2"/>
    </font>
    <font>
      <sz val="12"/>
      <color theme="1"/>
      <name val="Calibri"/>
      <family val="2"/>
    </font>
    <font>
      <sz val="12"/>
      <color theme="1"/>
      <name val="Symbol"/>
      <family val="1"/>
      <charset val="2"/>
    </font>
    <font>
      <sz val="7"/>
      <color theme="1"/>
      <name val="Times New Roman"/>
      <family val="1"/>
    </font>
    <font>
      <b/>
      <sz val="11"/>
      <color theme="1"/>
      <name val="Times New Roman"/>
      <family val="1"/>
    </font>
    <font>
      <b/>
      <i/>
      <sz val="11"/>
      <color theme="1"/>
      <name val="Times New Roman"/>
      <family val="1"/>
    </font>
    <font>
      <b/>
      <sz val="26"/>
      <color theme="4"/>
      <name val="Calibri Light"/>
      <family val="2"/>
    </font>
    <font>
      <sz val="11"/>
      <color theme="4"/>
      <name val="Calibri"/>
      <family val="2"/>
      <scheme val="minor"/>
    </font>
    <font>
      <sz val="16"/>
      <color theme="4"/>
      <name val="Calibri Light"/>
      <family val="2"/>
      <scheme val="major"/>
    </font>
    <font>
      <sz val="11"/>
      <name val="Aptos Narrow"/>
      <family val="2"/>
    </font>
    <font>
      <u/>
      <sz val="11"/>
      <color theme="10"/>
      <name val="Calibri"/>
      <family val="2"/>
      <scheme val="minor"/>
    </font>
    <font>
      <sz val="10"/>
      <color theme="1"/>
      <name val="Calibri"/>
      <family val="2"/>
      <scheme val="minor"/>
    </font>
  </fonts>
  <fills count="7">
    <fill>
      <patternFill patternType="none"/>
    </fill>
    <fill>
      <patternFill patternType="gray125"/>
    </fill>
    <fill>
      <patternFill patternType="solid">
        <fgColor theme="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6" tint="0.59999389629810485"/>
        <bgColor indexed="64"/>
      </patternFill>
    </fill>
    <fill>
      <patternFill patternType="solid">
        <fgColor rgb="FF92D05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style="medium">
        <color indexed="64"/>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6">
    <xf numFmtId="0" fontId="0" fillId="0" borderId="0"/>
    <xf numFmtId="0" fontId="3" fillId="0" borderId="0"/>
    <xf numFmtId="0" fontId="2" fillId="0" borderId="0"/>
    <xf numFmtId="0" fontId="13" fillId="0" borderId="0"/>
    <xf numFmtId="9" fontId="13"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0" fontId="2" fillId="0" borderId="0"/>
    <xf numFmtId="44" fontId="13" fillId="0" borderId="0" applyFont="0" applyFill="0" applyBorder="0" applyAlignment="0" applyProtection="0"/>
    <xf numFmtId="0" fontId="32" fillId="0" borderId="0"/>
    <xf numFmtId="43" fontId="32" fillId="0" borderId="0" applyFont="0" applyFill="0" applyBorder="0" applyAlignment="0" applyProtection="0"/>
    <xf numFmtId="43" fontId="2" fillId="0" borderId="0" applyFont="0" applyFill="0" applyBorder="0" applyAlignment="0" applyProtection="0"/>
    <xf numFmtId="0" fontId="2" fillId="0" borderId="0"/>
    <xf numFmtId="44" fontId="2" fillId="0" borderId="0" applyFont="0" applyFill="0" applyBorder="0" applyAlignment="0" applyProtection="0"/>
    <xf numFmtId="0" fontId="1" fillId="0" borderId="0"/>
    <xf numFmtId="0" fontId="46" fillId="0" borderId="0" applyNumberFormat="0" applyFill="0" applyBorder="0" applyAlignment="0" applyProtection="0"/>
  </cellStyleXfs>
  <cellXfs count="292">
    <xf numFmtId="0" fontId="0" fillId="0" borderId="0" xfId="0"/>
    <xf numFmtId="0" fontId="4" fillId="0" borderId="0" xfId="0" applyFont="1"/>
    <xf numFmtId="0" fontId="0" fillId="0" borderId="1" xfId="0" applyBorder="1"/>
    <xf numFmtId="0" fontId="4" fillId="0" borderId="1" xfId="0" applyFont="1" applyBorder="1"/>
    <xf numFmtId="37" fontId="0" fillId="0" borderId="1" xfId="0" applyNumberFormat="1" applyBorder="1" applyAlignment="1">
      <alignment horizontal="center"/>
    </xf>
    <xf numFmtId="0" fontId="5" fillId="2" borderId="0" xfId="0" applyFont="1" applyFill="1"/>
    <xf numFmtId="0" fontId="0" fillId="2" borderId="0" xfId="0" applyFill="1"/>
    <xf numFmtId="0" fontId="4" fillId="2" borderId="1" xfId="0" applyFont="1" applyFill="1" applyBorder="1"/>
    <xf numFmtId="0" fontId="4" fillId="2" borderId="1" xfId="0" applyFont="1" applyFill="1" applyBorder="1" applyAlignment="1">
      <alignment horizontal="center"/>
    </xf>
    <xf numFmtId="0" fontId="0" fillId="2" borderId="1" xfId="0" applyFill="1" applyBorder="1"/>
    <xf numFmtId="37" fontId="0" fillId="2" borderId="1" xfId="0" applyNumberFormat="1" applyFill="1" applyBorder="1" applyAlignment="1">
      <alignment horizontal="center"/>
    </xf>
    <xf numFmtId="9" fontId="0" fillId="2" borderId="1" xfId="0" applyNumberFormat="1" applyFill="1" applyBorder="1" applyAlignment="1">
      <alignment horizontal="center"/>
    </xf>
    <xf numFmtId="0" fontId="0" fillId="2" borderId="0" xfId="0" applyFill="1" applyAlignment="1">
      <alignment horizontal="center"/>
    </xf>
    <xf numFmtId="0" fontId="0" fillId="0" borderId="1" xfId="0" applyBorder="1" applyAlignment="1">
      <alignment horizontal="left" indent="1"/>
    </xf>
    <xf numFmtId="0" fontId="0" fillId="0" borderId="1" xfId="0" applyBorder="1" applyAlignment="1">
      <alignment horizontal="left" indent="2"/>
    </xf>
    <xf numFmtId="37" fontId="4" fillId="0" borderId="1" xfId="0" applyNumberFormat="1" applyFont="1" applyBorder="1" applyAlignment="1">
      <alignment horizontal="center"/>
    </xf>
    <xf numFmtId="0" fontId="4" fillId="0" borderId="1" xfId="0" applyFont="1" applyBorder="1" applyAlignment="1">
      <alignment horizontal="left"/>
    </xf>
    <xf numFmtId="0" fontId="0" fillId="0" borderId="1" xfId="0" applyBorder="1" applyAlignment="1">
      <alignment horizontal="left"/>
    </xf>
    <xf numFmtId="9" fontId="6" fillId="0" borderId="0" xfId="0" applyNumberFormat="1" applyFont="1" applyAlignment="1">
      <alignment horizontal="center"/>
    </xf>
    <xf numFmtId="0" fontId="0" fillId="3" borderId="1" xfId="0" applyFill="1" applyBorder="1"/>
    <xf numFmtId="0" fontId="4" fillId="3" borderId="1" xfId="0" applyFont="1" applyFill="1" applyBorder="1" applyAlignment="1">
      <alignment horizontal="center"/>
    </xf>
    <xf numFmtId="0" fontId="4" fillId="3" borderId="1" xfId="0" applyFont="1" applyFill="1" applyBorder="1"/>
    <xf numFmtId="37" fontId="4" fillId="3" borderId="1" xfId="0" applyNumberFormat="1" applyFont="1" applyFill="1" applyBorder="1" applyAlignment="1">
      <alignment horizontal="center"/>
    </xf>
    <xf numFmtId="0" fontId="4" fillId="3" borderId="1" xfId="0" applyFont="1" applyFill="1" applyBorder="1" applyAlignment="1">
      <alignment vertical="center"/>
    </xf>
    <xf numFmtId="0" fontId="7" fillId="0" borderId="1" xfId="0" applyFont="1" applyBorder="1"/>
    <xf numFmtId="37" fontId="7" fillId="0" borderId="1" xfId="0" applyNumberFormat="1" applyFont="1" applyBorder="1" applyAlignment="1">
      <alignment horizontal="center"/>
    </xf>
    <xf numFmtId="0" fontId="8" fillId="2" borderId="0" xfId="1" applyFont="1" applyFill="1" applyAlignment="1">
      <alignment vertical="center"/>
    </xf>
    <xf numFmtId="0" fontId="9" fillId="2" borderId="0" xfId="1" applyFont="1" applyFill="1"/>
    <xf numFmtId="0" fontId="9" fillId="0" borderId="0" xfId="1" applyFont="1"/>
    <xf numFmtId="0" fontId="10" fillId="2" borderId="2" xfId="1" applyFont="1" applyFill="1" applyBorder="1" applyAlignment="1">
      <alignment vertical="center"/>
    </xf>
    <xf numFmtId="0" fontId="10" fillId="2" borderId="3" xfId="1" applyFont="1" applyFill="1" applyBorder="1" applyAlignment="1">
      <alignment horizontal="center" vertical="center"/>
    </xf>
    <xf numFmtId="0" fontId="10" fillId="2" borderId="4" xfId="1" applyFont="1" applyFill="1" applyBorder="1" applyAlignment="1">
      <alignment horizontal="center" vertical="center"/>
    </xf>
    <xf numFmtId="0" fontId="9" fillId="2" borderId="5" xfId="1" applyFont="1" applyFill="1" applyBorder="1" applyAlignment="1">
      <alignment vertical="center"/>
    </xf>
    <xf numFmtId="3" fontId="9" fillId="2" borderId="1" xfId="1" applyNumberFormat="1" applyFont="1" applyFill="1" applyBorder="1" applyAlignment="1">
      <alignment horizontal="center" vertical="center"/>
    </xf>
    <xf numFmtId="0" fontId="9" fillId="2" borderId="6" xfId="1" applyFont="1" applyFill="1" applyBorder="1" applyAlignment="1">
      <alignment horizontal="center" vertical="center"/>
    </xf>
    <xf numFmtId="0" fontId="9" fillId="2" borderId="1" xfId="1" applyFont="1" applyFill="1" applyBorder="1" applyAlignment="1">
      <alignment horizontal="center" vertical="center"/>
    </xf>
    <xf numFmtId="3" fontId="9" fillId="2" borderId="6" xfId="1" applyNumberFormat="1" applyFont="1" applyFill="1" applyBorder="1" applyAlignment="1">
      <alignment horizontal="center" vertical="center"/>
    </xf>
    <xf numFmtId="9" fontId="9" fillId="2" borderId="1" xfId="1" applyNumberFormat="1" applyFont="1" applyFill="1" applyBorder="1" applyAlignment="1">
      <alignment horizontal="center" vertical="center"/>
    </xf>
    <xf numFmtId="9" fontId="9" fillId="2" borderId="6" xfId="1" applyNumberFormat="1" applyFont="1" applyFill="1" applyBorder="1" applyAlignment="1">
      <alignment horizontal="center" vertical="center"/>
    </xf>
    <xf numFmtId="0" fontId="10" fillId="2" borderId="5" xfId="1" applyFont="1" applyFill="1" applyBorder="1" applyAlignment="1">
      <alignment vertical="center"/>
    </xf>
    <xf numFmtId="0" fontId="10" fillId="2" borderId="1" xfId="1" applyFont="1" applyFill="1" applyBorder="1" applyAlignment="1">
      <alignment horizontal="center" vertical="center"/>
    </xf>
    <xf numFmtId="0" fontId="10" fillId="2" borderId="6" xfId="1" applyFont="1" applyFill="1" applyBorder="1" applyAlignment="1">
      <alignment horizontal="center" vertical="center"/>
    </xf>
    <xf numFmtId="0" fontId="9" fillId="2" borderId="7" xfId="1" applyFont="1" applyFill="1" applyBorder="1" applyAlignment="1">
      <alignment vertical="center"/>
    </xf>
    <xf numFmtId="9" fontId="9" fillId="2" borderId="8" xfId="1" applyNumberFormat="1" applyFont="1" applyFill="1" applyBorder="1" applyAlignment="1">
      <alignment horizontal="center" vertical="center"/>
    </xf>
    <xf numFmtId="9" fontId="9" fillId="2" borderId="9" xfId="1" applyNumberFormat="1" applyFont="1" applyFill="1" applyBorder="1" applyAlignment="1">
      <alignment horizontal="center" vertical="center"/>
    </xf>
    <xf numFmtId="0" fontId="9" fillId="0" borderId="0" xfId="1" applyFont="1" applyAlignment="1">
      <alignment vertical="center"/>
    </xf>
    <xf numFmtId="0" fontId="8" fillId="2" borderId="0" xfId="2" applyFont="1" applyFill="1" applyAlignment="1">
      <alignment vertical="center"/>
    </xf>
    <xf numFmtId="0" fontId="2" fillId="2" borderId="0" xfId="2" applyFill="1"/>
    <xf numFmtId="0" fontId="2" fillId="0" borderId="0" xfId="2"/>
    <xf numFmtId="0" fontId="9" fillId="2" borderId="0" xfId="2" applyFont="1" applyFill="1" applyAlignment="1">
      <alignment vertical="center"/>
    </xf>
    <xf numFmtId="0" fontId="12" fillId="2" borderId="2" xfId="2" applyFont="1" applyFill="1" applyBorder="1"/>
    <xf numFmtId="0" fontId="12" fillId="2" borderId="3" xfId="2" applyFont="1" applyFill="1" applyBorder="1" applyAlignment="1">
      <alignment horizontal="center"/>
    </xf>
    <xf numFmtId="0" fontId="12" fillId="2" borderId="4" xfId="2" applyFont="1" applyFill="1" applyBorder="1" applyAlignment="1">
      <alignment horizontal="center"/>
    </xf>
    <xf numFmtId="0" fontId="12" fillId="2" borderId="5" xfId="2" applyFont="1" applyFill="1" applyBorder="1"/>
    <xf numFmtId="3" fontId="9" fillId="2" borderId="1" xfId="2" applyNumberFormat="1" applyFont="1" applyFill="1" applyBorder="1"/>
    <xf numFmtId="3" fontId="9" fillId="2" borderId="1" xfId="2" applyNumberFormat="1" applyFont="1" applyFill="1" applyBorder="1" applyAlignment="1">
      <alignment vertical="center" wrapText="1"/>
    </xf>
    <xf numFmtId="3" fontId="9" fillId="2" borderId="6" xfId="2" applyNumberFormat="1" applyFont="1" applyFill="1" applyBorder="1"/>
    <xf numFmtId="0" fontId="9" fillId="2" borderId="1" xfId="2" applyFont="1" applyFill="1" applyBorder="1"/>
    <xf numFmtId="0" fontId="9" fillId="2" borderId="1" xfId="2" applyFont="1" applyFill="1" applyBorder="1" applyAlignment="1">
      <alignment vertical="center" wrapText="1"/>
    </xf>
    <xf numFmtId="0" fontId="9" fillId="2" borderId="6" xfId="2" applyFont="1" applyFill="1" applyBorder="1"/>
    <xf numFmtId="9" fontId="9" fillId="2" borderId="1" xfId="2" applyNumberFormat="1" applyFont="1" applyFill="1" applyBorder="1"/>
    <xf numFmtId="9" fontId="9" fillId="2" borderId="1" xfId="2" applyNumberFormat="1" applyFont="1" applyFill="1" applyBorder="1" applyAlignment="1">
      <alignment vertical="center" wrapText="1"/>
    </xf>
    <xf numFmtId="9" fontId="9" fillId="2" borderId="6" xfId="2" applyNumberFormat="1" applyFont="1" applyFill="1" applyBorder="1"/>
    <xf numFmtId="0" fontId="12" fillId="2" borderId="7" xfId="2" applyFont="1" applyFill="1" applyBorder="1"/>
    <xf numFmtId="9" fontId="9" fillId="2" borderId="8" xfId="2" applyNumberFormat="1" applyFont="1" applyFill="1" applyBorder="1"/>
    <xf numFmtId="9" fontId="9" fillId="2" borderId="9" xfId="2" applyNumberFormat="1" applyFont="1" applyFill="1" applyBorder="1"/>
    <xf numFmtId="0" fontId="9" fillId="2" borderId="0" xfId="2" quotePrefix="1" applyFont="1" applyFill="1" applyAlignment="1">
      <alignment horizontal="left" vertical="center" indent="2"/>
    </xf>
    <xf numFmtId="0" fontId="9" fillId="0" borderId="0" xfId="2" applyFont="1" applyAlignment="1">
      <alignment vertical="center"/>
    </xf>
    <xf numFmtId="0" fontId="9" fillId="0" borderId="0" xfId="2" applyFont="1" applyAlignment="1">
      <alignment horizontal="right" vertical="center"/>
    </xf>
    <xf numFmtId="3" fontId="9" fillId="2" borderId="10" xfId="2" applyNumberFormat="1" applyFont="1" applyFill="1" applyBorder="1"/>
    <xf numFmtId="0" fontId="12" fillId="2" borderId="0" xfId="2" applyFont="1" applyFill="1"/>
    <xf numFmtId="0" fontId="13" fillId="0" borderId="0" xfId="3"/>
    <xf numFmtId="0" fontId="14" fillId="0" borderId="10" xfId="3" applyFont="1" applyBorder="1" applyAlignment="1">
      <alignment vertical="center" wrapText="1"/>
    </xf>
    <xf numFmtId="0" fontId="14" fillId="0" borderId="11" xfId="3" applyFont="1" applyBorder="1" applyAlignment="1">
      <alignment horizontal="center" vertical="center" wrapText="1"/>
    </xf>
    <xf numFmtId="0" fontId="14" fillId="0" borderId="12" xfId="3" applyFont="1" applyBorder="1" applyAlignment="1">
      <alignment vertical="center" wrapText="1"/>
    </xf>
    <xf numFmtId="3" fontId="14" fillId="0" borderId="13" xfId="3" applyNumberFormat="1" applyFont="1" applyBorder="1" applyAlignment="1">
      <alignment vertical="center" wrapText="1"/>
    </xf>
    <xf numFmtId="8" fontId="13" fillId="0" borderId="0" xfId="3" applyNumberFormat="1"/>
    <xf numFmtId="9" fontId="14" fillId="0" borderId="13" xfId="3" applyNumberFormat="1" applyFont="1" applyBorder="1" applyAlignment="1">
      <alignment vertical="center" wrapText="1"/>
    </xf>
    <xf numFmtId="0" fontId="14" fillId="0" borderId="13" xfId="3" applyFont="1" applyBorder="1" applyAlignment="1">
      <alignment vertical="center" wrapText="1"/>
    </xf>
    <xf numFmtId="3" fontId="13" fillId="0" borderId="0" xfId="3" applyNumberFormat="1"/>
    <xf numFmtId="0" fontId="14" fillId="0" borderId="0" xfId="3" applyFont="1" applyAlignment="1">
      <alignment vertical="center" wrapText="1"/>
    </xf>
    <xf numFmtId="10" fontId="15" fillId="4" borderId="0" xfId="4" applyNumberFormat="1" applyFont="1" applyFill="1"/>
    <xf numFmtId="0" fontId="9" fillId="2" borderId="0" xfId="2" applyFont="1" applyFill="1"/>
    <xf numFmtId="0" fontId="9" fillId="0" borderId="0" xfId="2" applyFont="1"/>
    <xf numFmtId="0" fontId="9" fillId="2" borderId="14" xfId="2" applyFont="1" applyFill="1" applyBorder="1"/>
    <xf numFmtId="0" fontId="9" fillId="2" borderId="15" xfId="2" applyFont="1" applyFill="1" applyBorder="1"/>
    <xf numFmtId="0" fontId="9" fillId="2" borderId="16" xfId="2" applyFont="1" applyFill="1" applyBorder="1"/>
    <xf numFmtId="0" fontId="9" fillId="2" borderId="17" xfId="2" applyFont="1" applyFill="1" applyBorder="1"/>
    <xf numFmtId="0" fontId="9" fillId="2" borderId="18" xfId="2" applyFont="1" applyFill="1" applyBorder="1"/>
    <xf numFmtId="0" fontId="12" fillId="2" borderId="19" xfId="2" applyFont="1" applyFill="1" applyBorder="1" applyAlignment="1">
      <alignment horizontal="center"/>
    </xf>
    <xf numFmtId="0" fontId="12" fillId="2" borderId="1" xfId="2" applyFont="1" applyFill="1" applyBorder="1" applyAlignment="1">
      <alignment horizontal="center"/>
    </xf>
    <xf numFmtId="0" fontId="12" fillId="2" borderId="20" xfId="2" applyFont="1" applyFill="1" applyBorder="1" applyAlignment="1">
      <alignment horizontal="center"/>
    </xf>
    <xf numFmtId="0" fontId="12" fillId="2" borderId="5" xfId="2" applyFont="1" applyFill="1" applyBorder="1" applyAlignment="1">
      <alignment horizontal="center"/>
    </xf>
    <xf numFmtId="0" fontId="9" fillId="2" borderId="1" xfId="2" applyFont="1" applyFill="1" applyBorder="1" applyAlignment="1">
      <alignment horizontal="center"/>
    </xf>
    <xf numFmtId="9" fontId="9" fillId="2" borderId="1" xfId="5" applyFont="1" applyFill="1" applyBorder="1" applyAlignment="1">
      <alignment horizontal="center"/>
    </xf>
    <xf numFmtId="0" fontId="9" fillId="2" borderId="6" xfId="2" applyFont="1" applyFill="1" applyBorder="1" applyAlignment="1">
      <alignment horizontal="center"/>
    </xf>
    <xf numFmtId="0" fontId="12" fillId="2" borderId="7" xfId="2" applyFont="1" applyFill="1" applyBorder="1" applyAlignment="1">
      <alignment horizontal="center"/>
    </xf>
    <xf numFmtId="0" fontId="9" fillId="2" borderId="8" xfId="2" applyFont="1" applyFill="1" applyBorder="1" applyAlignment="1">
      <alignment horizontal="center"/>
    </xf>
    <xf numFmtId="9" fontId="9" fillId="2" borderId="8" xfId="5" applyFont="1" applyFill="1" applyBorder="1" applyAlignment="1">
      <alignment horizontal="center"/>
    </xf>
    <xf numFmtId="0" fontId="9" fillId="2" borderId="9" xfId="2" applyFont="1" applyFill="1" applyBorder="1" applyAlignment="1">
      <alignment horizontal="center"/>
    </xf>
    <xf numFmtId="0" fontId="16" fillId="2" borderId="0" xfId="2" applyFont="1" applyFill="1"/>
    <xf numFmtId="0" fontId="9" fillId="2" borderId="0" xfId="2" quotePrefix="1" applyFont="1" applyFill="1" applyAlignment="1">
      <alignment horizontal="left" vertical="center" indent="3"/>
    </xf>
    <xf numFmtId="0" fontId="9" fillId="2" borderId="10" xfId="2" quotePrefix="1" applyFont="1" applyFill="1" applyBorder="1" applyAlignment="1">
      <alignment horizontal="center" vertical="center"/>
    </xf>
    <xf numFmtId="0" fontId="9" fillId="2" borderId="0" xfId="2" quotePrefix="1" applyFont="1" applyFill="1" applyAlignment="1">
      <alignment horizontal="left" vertical="center"/>
    </xf>
    <xf numFmtId="10" fontId="9" fillId="2" borderId="10" xfId="2" applyNumberFormat="1" applyFont="1" applyFill="1" applyBorder="1" applyAlignment="1">
      <alignment horizontal="center"/>
    </xf>
    <xf numFmtId="0" fontId="9" fillId="2" borderId="0" xfId="2" applyFont="1" applyFill="1" applyAlignment="1">
      <alignment horizontal="left" indent="3"/>
    </xf>
    <xf numFmtId="9" fontId="9" fillId="2" borderId="10" xfId="2" applyNumberFormat="1" applyFont="1" applyFill="1" applyBorder="1" applyAlignment="1">
      <alignment horizontal="center"/>
    </xf>
    <xf numFmtId="0" fontId="9" fillId="2" borderId="21" xfId="2" applyFont="1" applyFill="1" applyBorder="1"/>
    <xf numFmtId="0" fontId="9" fillId="2" borderId="22" xfId="2" applyFont="1" applyFill="1" applyBorder="1"/>
    <xf numFmtId="0" fontId="9" fillId="2" borderId="23" xfId="2" applyFont="1" applyFill="1" applyBorder="1"/>
    <xf numFmtId="165" fontId="9" fillId="2" borderId="10" xfId="6" applyNumberFormat="1" applyFont="1" applyFill="1" applyBorder="1"/>
    <xf numFmtId="0" fontId="9" fillId="0" borderId="0" xfId="2" applyFont="1" applyAlignment="1">
      <alignment horizontal="right"/>
    </xf>
    <xf numFmtId="0" fontId="9" fillId="2" borderId="10" xfId="2" applyFont="1" applyFill="1" applyBorder="1"/>
    <xf numFmtId="0" fontId="17" fillId="0" borderId="1" xfId="3" applyFont="1" applyBorder="1" applyAlignment="1">
      <alignment horizontal="center"/>
    </xf>
    <xf numFmtId="0" fontId="17" fillId="0" borderId="1" xfId="3" quotePrefix="1" applyFont="1" applyBorder="1" applyAlignment="1">
      <alignment horizontal="center"/>
    </xf>
    <xf numFmtId="0" fontId="13" fillId="0" borderId="1" xfId="3" applyBorder="1" applyAlignment="1">
      <alignment horizontal="center"/>
    </xf>
    <xf numFmtId="3" fontId="13" fillId="0" borderId="1" xfId="3" applyNumberFormat="1" applyBorder="1" applyAlignment="1">
      <alignment horizontal="center"/>
    </xf>
    <xf numFmtId="9" fontId="13" fillId="0" borderId="1" xfId="3" applyNumberFormat="1" applyBorder="1" applyAlignment="1">
      <alignment horizontal="center"/>
    </xf>
    <xf numFmtId="0" fontId="12" fillId="2" borderId="10" xfId="2" applyFont="1" applyFill="1" applyBorder="1" applyAlignment="1">
      <alignment vertical="center" wrapText="1"/>
    </xf>
    <xf numFmtId="0" fontId="12" fillId="2" borderId="11" xfId="2" applyFont="1" applyFill="1" applyBorder="1" applyAlignment="1">
      <alignment horizontal="center" vertical="center" wrapText="1"/>
    </xf>
    <xf numFmtId="0" fontId="12" fillId="2" borderId="12" xfId="2" applyFont="1" applyFill="1" applyBorder="1" applyAlignment="1">
      <alignment vertical="center" wrapText="1"/>
    </xf>
    <xf numFmtId="3" fontId="9" fillId="2" borderId="13" xfId="2" applyNumberFormat="1" applyFont="1" applyFill="1" applyBorder="1" applyAlignment="1">
      <alignment horizontal="center" vertical="center" wrapText="1"/>
    </xf>
    <xf numFmtId="0" fontId="9" fillId="2" borderId="13" xfId="2" applyFont="1" applyFill="1" applyBorder="1" applyAlignment="1">
      <alignment horizontal="center" vertical="center" wrapText="1"/>
    </xf>
    <xf numFmtId="0" fontId="12" fillId="0" borderId="0" xfId="2" applyFont="1"/>
    <xf numFmtId="0" fontId="16" fillId="0" borderId="0" xfId="2" applyFont="1"/>
    <xf numFmtId="0" fontId="18" fillId="0" borderId="0" xfId="2" applyFont="1"/>
    <xf numFmtId="3" fontId="9" fillId="0" borderId="0" xfId="2" applyNumberFormat="1" applyFont="1"/>
    <xf numFmtId="0" fontId="2" fillId="0" borderId="0" xfId="7"/>
    <xf numFmtId="4" fontId="9" fillId="2" borderId="10" xfId="7" applyNumberFormat="1" applyFont="1" applyFill="1" applyBorder="1"/>
    <xf numFmtId="0" fontId="11" fillId="0" borderId="10" xfId="7" applyFont="1" applyBorder="1" applyAlignment="1">
      <alignment horizontal="center"/>
    </xf>
    <xf numFmtId="0" fontId="11" fillId="0" borderId="0" xfId="7" applyFont="1"/>
    <xf numFmtId="0" fontId="11" fillId="0" borderId="0" xfId="7" applyFont="1" applyAlignment="1">
      <alignment horizontal="center"/>
    </xf>
    <xf numFmtId="0" fontId="9" fillId="0" borderId="0" xfId="7" applyFont="1" applyAlignment="1">
      <alignment horizontal="right" vertical="center"/>
    </xf>
    <xf numFmtId="0" fontId="2" fillId="5" borderId="0" xfId="7" applyFill="1"/>
    <xf numFmtId="0" fontId="19" fillId="5" borderId="0" xfId="7" applyFont="1" applyFill="1"/>
    <xf numFmtId="0" fontId="9" fillId="5" borderId="0" xfId="7" applyFont="1" applyFill="1" applyAlignment="1">
      <alignment vertical="center"/>
    </xf>
    <xf numFmtId="0" fontId="20" fillId="5" borderId="0" xfId="7" applyFont="1" applyFill="1"/>
    <xf numFmtId="9" fontId="9" fillId="5" borderId="13" xfId="7" applyNumberFormat="1" applyFont="1" applyFill="1" applyBorder="1" applyAlignment="1">
      <alignment horizontal="center" vertical="center" wrapText="1"/>
    </xf>
    <xf numFmtId="0" fontId="12" fillId="5" borderId="12" xfId="7" applyFont="1" applyFill="1" applyBorder="1" applyAlignment="1">
      <alignment horizontal="center" vertical="center" wrapText="1"/>
    </xf>
    <xf numFmtId="0" fontId="12" fillId="5" borderId="11" xfId="7" applyFont="1" applyFill="1" applyBorder="1" applyAlignment="1">
      <alignment horizontal="center" vertical="center" wrapText="1"/>
    </xf>
    <xf numFmtId="0" fontId="12" fillId="5" borderId="10" xfId="7" applyFont="1" applyFill="1" applyBorder="1" applyAlignment="1">
      <alignment horizontal="center" vertical="center" wrapText="1"/>
    </xf>
    <xf numFmtId="0" fontId="9" fillId="5" borderId="0" xfId="7" applyFont="1" applyFill="1" applyAlignment="1">
      <alignment horizontal="center" vertical="center" wrapText="1"/>
    </xf>
    <xf numFmtId="10" fontId="9" fillId="5" borderId="13" xfId="7" applyNumberFormat="1" applyFont="1" applyFill="1" applyBorder="1" applyAlignment="1">
      <alignment horizontal="center" vertical="center"/>
    </xf>
    <xf numFmtId="0" fontId="9" fillId="5" borderId="12" xfId="7" applyFont="1" applyFill="1" applyBorder="1" applyAlignment="1">
      <alignment vertical="center"/>
    </xf>
    <xf numFmtId="3" fontId="9" fillId="5" borderId="11" xfId="7" applyNumberFormat="1" applyFont="1" applyFill="1" applyBorder="1" applyAlignment="1">
      <alignment horizontal="center" vertical="center"/>
    </xf>
    <xf numFmtId="0" fontId="9" fillId="5" borderId="10" xfId="7" applyFont="1" applyFill="1" applyBorder="1" applyAlignment="1">
      <alignment vertical="center"/>
    </xf>
    <xf numFmtId="0" fontId="25" fillId="5" borderId="0" xfId="7" applyFont="1" applyFill="1"/>
    <xf numFmtId="0" fontId="26" fillId="5" borderId="0" xfId="7" applyFont="1" applyFill="1"/>
    <xf numFmtId="44" fontId="13" fillId="0" borderId="0" xfId="3" applyNumberFormat="1"/>
    <xf numFmtId="44" fontId="0" fillId="0" borderId="0" xfId="8" applyFont="1"/>
    <xf numFmtId="10" fontId="14" fillId="0" borderId="13" xfId="3" applyNumberFormat="1" applyFont="1" applyBorder="1" applyAlignment="1">
      <alignment vertical="center" wrapText="1"/>
    </xf>
    <xf numFmtId="0" fontId="14" fillId="0" borderId="11" xfId="3" applyFont="1" applyBorder="1" applyAlignment="1">
      <alignment vertical="center" wrapText="1"/>
    </xf>
    <xf numFmtId="0" fontId="14" fillId="0" borderId="12" xfId="3" applyFont="1" applyBorder="1" applyAlignment="1">
      <alignment vertical="center"/>
    </xf>
    <xf numFmtId="10" fontId="14" fillId="0" borderId="11" xfId="3" applyNumberFormat="1" applyFont="1" applyBorder="1" applyAlignment="1">
      <alignment vertical="center" wrapText="1"/>
    </xf>
    <xf numFmtId="0" fontId="14" fillId="0" borderId="10" xfId="3" applyFont="1" applyBorder="1" applyAlignment="1">
      <alignment vertical="center"/>
    </xf>
    <xf numFmtId="166" fontId="14" fillId="0" borderId="11" xfId="8" applyNumberFormat="1" applyFont="1" applyBorder="1" applyAlignment="1">
      <alignment vertical="center" wrapText="1"/>
    </xf>
    <xf numFmtId="0" fontId="32" fillId="0" borderId="0" xfId="9"/>
    <xf numFmtId="9" fontId="32" fillId="0" borderId="0" xfId="9" applyNumberFormat="1"/>
    <xf numFmtId="0" fontId="33" fillId="0" borderId="0" xfId="9" applyFont="1"/>
    <xf numFmtId="0" fontId="33" fillId="0" borderId="0" xfId="9" applyFont="1" applyAlignment="1">
      <alignment horizontal="right"/>
    </xf>
    <xf numFmtId="43" fontId="0" fillId="0" borderId="0" xfId="10" applyFont="1" applyFill="1"/>
    <xf numFmtId="43" fontId="0" fillId="0" borderId="24" xfId="10" applyFont="1" applyFill="1" applyBorder="1"/>
    <xf numFmtId="43" fontId="0" fillId="0" borderId="25" xfId="10" applyFont="1" applyFill="1" applyBorder="1"/>
    <xf numFmtId="43" fontId="0" fillId="0" borderId="11" xfId="10" applyFont="1" applyFill="1" applyBorder="1"/>
    <xf numFmtId="167" fontId="0" fillId="0" borderId="0" xfId="11" applyNumberFormat="1" applyFont="1" applyFill="1"/>
    <xf numFmtId="0" fontId="32" fillId="0" borderId="15" xfId="9" applyBorder="1"/>
    <xf numFmtId="0" fontId="34" fillId="0" borderId="0" xfId="9" applyFont="1"/>
    <xf numFmtId="0" fontId="32" fillId="0" borderId="11" xfId="9" applyBorder="1"/>
    <xf numFmtId="43" fontId="32" fillId="0" borderId="26" xfId="9" applyNumberFormat="1" applyBorder="1"/>
    <xf numFmtId="43" fontId="32" fillId="0" borderId="27" xfId="9" applyNumberFormat="1" applyBorder="1"/>
    <xf numFmtId="43" fontId="0" fillId="0" borderId="0" xfId="10" applyFont="1"/>
    <xf numFmtId="167" fontId="0" fillId="0" borderId="0" xfId="10" applyNumberFormat="1" applyFont="1"/>
    <xf numFmtId="0" fontId="32" fillId="6" borderId="15" xfId="9" applyFill="1" applyBorder="1"/>
    <xf numFmtId="168" fontId="32" fillId="6" borderId="10" xfId="9" applyNumberFormat="1" applyFill="1" applyBorder="1"/>
    <xf numFmtId="167" fontId="0" fillId="0" borderId="0" xfId="11" applyNumberFormat="1" applyFont="1"/>
    <xf numFmtId="43" fontId="32" fillId="0" borderId="28" xfId="9" applyNumberFormat="1" applyBorder="1"/>
    <xf numFmtId="0" fontId="8" fillId="2" borderId="0" xfId="7" applyFont="1" applyFill="1" applyAlignment="1">
      <alignment vertical="center"/>
    </xf>
    <xf numFmtId="0" fontId="2" fillId="2" borderId="0" xfId="7" applyFill="1"/>
    <xf numFmtId="0" fontId="9" fillId="2" borderId="0" xfId="7" applyFont="1" applyFill="1" applyAlignment="1">
      <alignment vertical="center"/>
    </xf>
    <xf numFmtId="0" fontId="9" fillId="2" borderId="0" xfId="7" applyFont="1" applyFill="1" applyAlignment="1">
      <alignment horizontal="left" indent="2"/>
    </xf>
    <xf numFmtId="0" fontId="9" fillId="2" borderId="0" xfId="7" applyFont="1" applyFill="1"/>
    <xf numFmtId="0" fontId="35" fillId="2" borderId="0" xfId="7" applyFont="1" applyFill="1"/>
    <xf numFmtId="0" fontId="35" fillId="0" borderId="0" xfId="7" applyFont="1"/>
    <xf numFmtId="0" fontId="12" fillId="2" borderId="10" xfId="7" applyFont="1" applyFill="1" applyBorder="1" applyAlignment="1">
      <alignment horizontal="center" vertical="center" wrapText="1"/>
    </xf>
    <xf numFmtId="0" fontId="12" fillId="2" borderId="11" xfId="7" applyFont="1" applyFill="1" applyBorder="1" applyAlignment="1">
      <alignment horizontal="center" vertical="center" wrapText="1"/>
    </xf>
    <xf numFmtId="0" fontId="9" fillId="2" borderId="12" xfId="7" applyFont="1" applyFill="1" applyBorder="1" applyAlignment="1">
      <alignment horizontal="center" vertical="center" wrapText="1"/>
    </xf>
    <xf numFmtId="3" fontId="9" fillId="2" borderId="13" xfId="7" applyNumberFormat="1" applyFont="1" applyFill="1" applyBorder="1" applyAlignment="1">
      <alignment horizontal="center" vertical="center" wrapText="1"/>
    </xf>
    <xf numFmtId="3" fontId="9" fillId="2" borderId="13" xfId="7" quotePrefix="1" applyNumberFormat="1" applyFont="1" applyFill="1" applyBorder="1" applyAlignment="1">
      <alignment horizontal="center" vertical="center" wrapText="1"/>
    </xf>
    <xf numFmtId="169" fontId="9" fillId="2" borderId="13" xfId="7" applyNumberFormat="1" applyFont="1" applyFill="1" applyBorder="1" applyAlignment="1">
      <alignment horizontal="center" vertical="center" wrapText="1"/>
    </xf>
    <xf numFmtId="0" fontId="9" fillId="2" borderId="0" xfId="7" applyFont="1" applyFill="1" applyAlignment="1">
      <alignment horizontal="center" vertical="center" wrapText="1"/>
    </xf>
    <xf numFmtId="9" fontId="9" fillId="2" borderId="0" xfId="7" applyNumberFormat="1" applyFont="1" applyFill="1" applyAlignment="1">
      <alignment horizontal="center" vertical="center" wrapText="1"/>
    </xf>
    <xf numFmtId="0" fontId="9" fillId="2" borderId="0" xfId="7" applyFont="1" applyFill="1" applyAlignment="1">
      <alignment horizontal="left" vertical="center"/>
    </xf>
    <xf numFmtId="3" fontId="9" fillId="2" borderId="0" xfId="7" applyNumberFormat="1" applyFont="1" applyFill="1" applyAlignment="1">
      <alignment horizontal="center" vertical="center" wrapText="1"/>
    </xf>
    <xf numFmtId="0" fontId="36" fillId="2" borderId="0" xfId="7" applyFont="1" applyFill="1" applyAlignment="1">
      <alignment horizontal="left" vertical="center"/>
    </xf>
    <xf numFmtId="0" fontId="20" fillId="2" borderId="0" xfId="7" applyFont="1" applyFill="1"/>
    <xf numFmtId="0" fontId="9" fillId="0" borderId="0" xfId="7" applyFont="1" applyAlignment="1">
      <alignment vertical="center"/>
    </xf>
    <xf numFmtId="0" fontId="18" fillId="0" borderId="0" xfId="7" applyFont="1" applyAlignment="1">
      <alignment vertical="center"/>
    </xf>
    <xf numFmtId="0" fontId="12" fillId="2" borderId="0" xfId="7" applyFont="1" applyFill="1"/>
    <xf numFmtId="0" fontId="20" fillId="0" borderId="0" xfId="7" applyFont="1"/>
    <xf numFmtId="0" fontId="9" fillId="0" borderId="0" xfId="7" applyFont="1"/>
    <xf numFmtId="0" fontId="12" fillId="2" borderId="10" xfId="7" applyFont="1" applyFill="1" applyBorder="1" applyAlignment="1">
      <alignment vertical="center" wrapText="1"/>
    </xf>
    <xf numFmtId="0" fontId="12" fillId="2" borderId="11" xfId="7" applyFont="1" applyFill="1" applyBorder="1" applyAlignment="1">
      <alignment vertical="center" wrapText="1"/>
    </xf>
    <xf numFmtId="0" fontId="9" fillId="2" borderId="12" xfId="7" applyFont="1" applyFill="1" applyBorder="1" applyAlignment="1">
      <alignment horizontal="left" vertical="center" wrapText="1"/>
    </xf>
    <xf numFmtId="0" fontId="9" fillId="2" borderId="13" xfId="7" applyFont="1" applyFill="1" applyBorder="1" applyAlignment="1">
      <alignment vertical="center" wrapText="1"/>
    </xf>
    <xf numFmtId="3" fontId="9" fillId="2" borderId="0" xfId="12" applyNumberFormat="1" applyFont="1" applyFill="1"/>
    <xf numFmtId="0" fontId="38" fillId="2" borderId="0" xfId="7" applyFont="1" applyFill="1" applyAlignment="1">
      <alignment horizontal="left" vertical="center" indent="8"/>
    </xf>
    <xf numFmtId="0" fontId="12" fillId="2" borderId="10" xfId="7" applyFont="1" applyFill="1" applyBorder="1" applyAlignment="1">
      <alignment horizontal="center" vertical="center"/>
    </xf>
    <xf numFmtId="0" fontId="12" fillId="2" borderId="11" xfId="7" applyFont="1" applyFill="1" applyBorder="1" applyAlignment="1">
      <alignment horizontal="center" vertical="center"/>
    </xf>
    <xf numFmtId="0" fontId="9" fillId="2" borderId="12" xfId="7" applyFont="1" applyFill="1" applyBorder="1" applyAlignment="1">
      <alignment horizontal="center" vertical="center"/>
    </xf>
    <xf numFmtId="3" fontId="9" fillId="2" borderId="13" xfId="7" applyNumberFormat="1" applyFont="1" applyFill="1" applyBorder="1" applyAlignment="1">
      <alignment horizontal="center" vertical="center"/>
    </xf>
    <xf numFmtId="0" fontId="9" fillId="2" borderId="13" xfId="7" applyFont="1" applyFill="1" applyBorder="1" applyAlignment="1">
      <alignment horizontal="center" vertical="center"/>
    </xf>
    <xf numFmtId="3" fontId="20" fillId="2" borderId="0" xfId="12" applyNumberFormat="1" applyFont="1" applyFill="1"/>
    <xf numFmtId="0" fontId="21" fillId="0" borderId="0" xfId="7" applyFont="1"/>
    <xf numFmtId="0" fontId="40" fillId="0" borderId="0" xfId="7" applyFont="1" applyAlignment="1">
      <alignment horizontal="center"/>
    </xf>
    <xf numFmtId="0" fontId="20" fillId="0" borderId="0" xfId="7" applyFont="1" applyAlignment="1">
      <alignment horizontal="center"/>
    </xf>
    <xf numFmtId="167" fontId="20" fillId="0" borderId="0" xfId="11" applyNumberFormat="1" applyFont="1" applyAlignment="1"/>
    <xf numFmtId="10" fontId="20" fillId="0" borderId="0" xfId="5" applyNumberFormat="1" applyFont="1" applyAlignment="1">
      <alignment horizontal="center"/>
    </xf>
    <xf numFmtId="0" fontId="40" fillId="0" borderId="10" xfId="7" applyFont="1" applyBorder="1" applyAlignment="1">
      <alignment horizontal="center" vertical="center"/>
    </xf>
    <xf numFmtId="0" fontId="12" fillId="0" borderId="10" xfId="7" applyFont="1" applyBorder="1" applyAlignment="1">
      <alignment horizontal="center" vertical="center" wrapText="1"/>
    </xf>
    <xf numFmtId="0" fontId="12" fillId="0" borderId="11" xfId="7" applyFont="1" applyBorder="1" applyAlignment="1">
      <alignment horizontal="center" vertical="center" wrapText="1"/>
    </xf>
    <xf numFmtId="0" fontId="20" fillId="0" borderId="26" xfId="7" applyFont="1" applyBorder="1" applyAlignment="1">
      <alignment horizontal="center"/>
    </xf>
    <xf numFmtId="167" fontId="20" fillId="0" borderId="26" xfId="5" applyNumberFormat="1" applyFont="1" applyBorder="1" applyAlignment="1">
      <alignment horizontal="center"/>
    </xf>
    <xf numFmtId="0" fontId="20" fillId="0" borderId="27" xfId="7" applyFont="1" applyBorder="1" applyAlignment="1">
      <alignment horizontal="center"/>
    </xf>
    <xf numFmtId="167" fontId="20" fillId="0" borderId="27" xfId="5" applyNumberFormat="1" applyFont="1" applyBorder="1" applyAlignment="1">
      <alignment horizontal="center"/>
    </xf>
    <xf numFmtId="0" fontId="20" fillId="0" borderId="12" xfId="7" applyFont="1" applyBorder="1" applyAlignment="1">
      <alignment horizontal="center"/>
    </xf>
    <xf numFmtId="167" fontId="20" fillId="4" borderId="12" xfId="5" applyNumberFormat="1" applyFont="1" applyFill="1" applyBorder="1" applyAlignment="1">
      <alignment horizontal="center"/>
    </xf>
    <xf numFmtId="0" fontId="9" fillId="2" borderId="10" xfId="7" applyFont="1" applyFill="1" applyBorder="1" applyAlignment="1">
      <alignment vertical="center" wrapText="1"/>
    </xf>
    <xf numFmtId="3" fontId="9" fillId="2" borderId="11" xfId="7" applyNumberFormat="1" applyFont="1" applyFill="1" applyBorder="1" applyAlignment="1">
      <alignment horizontal="right" vertical="center" wrapText="1"/>
    </xf>
    <xf numFmtId="0" fontId="9" fillId="2" borderId="12" xfId="7" applyFont="1" applyFill="1" applyBorder="1" applyAlignment="1">
      <alignment vertical="center" wrapText="1"/>
    </xf>
    <xf numFmtId="0" fontId="9" fillId="2" borderId="13" xfId="7" applyFont="1" applyFill="1" applyBorder="1" applyAlignment="1">
      <alignment horizontal="right" vertical="center" wrapText="1"/>
    </xf>
    <xf numFmtId="0" fontId="9" fillId="2" borderId="0" xfId="7" applyFont="1" applyFill="1" applyAlignment="1">
      <alignment horizontal="left" vertical="center" indent="8"/>
    </xf>
    <xf numFmtId="0" fontId="12" fillId="2" borderId="11" xfId="7" applyFont="1" applyFill="1" applyBorder="1" applyAlignment="1">
      <alignment horizontal="right" vertical="center" wrapText="1"/>
    </xf>
    <xf numFmtId="3" fontId="9" fillId="2" borderId="13" xfId="7" applyNumberFormat="1" applyFont="1" applyFill="1" applyBorder="1" applyAlignment="1">
      <alignment horizontal="right" vertical="center" wrapText="1"/>
    </xf>
    <xf numFmtId="0" fontId="12" fillId="2" borderId="12" xfId="7" applyFont="1" applyFill="1" applyBorder="1" applyAlignment="1">
      <alignment vertical="center" wrapText="1"/>
    </xf>
    <xf numFmtId="3" fontId="12" fillId="2" borderId="13" xfId="7" applyNumberFormat="1" applyFont="1" applyFill="1" applyBorder="1" applyAlignment="1">
      <alignment horizontal="right" vertical="center" wrapText="1"/>
    </xf>
    <xf numFmtId="0" fontId="12" fillId="2" borderId="13" xfId="7" applyFont="1" applyFill="1" applyBorder="1" applyAlignment="1">
      <alignment horizontal="right" vertical="center" wrapText="1"/>
    </xf>
    <xf numFmtId="1" fontId="9" fillId="2" borderId="13" xfId="7" applyNumberFormat="1" applyFont="1" applyFill="1" applyBorder="1" applyAlignment="1">
      <alignment horizontal="right" vertical="center" wrapText="1"/>
    </xf>
    <xf numFmtId="0" fontId="20" fillId="0" borderId="0" xfId="7" applyFont="1" applyAlignment="1">
      <alignment horizontal="center" wrapText="1"/>
    </xf>
    <xf numFmtId="0" fontId="40" fillId="0" borderId="0" xfId="7" applyFont="1" applyAlignment="1">
      <alignment horizontal="center" wrapText="1"/>
    </xf>
    <xf numFmtId="0" fontId="40" fillId="0" borderId="0" xfId="7" applyFont="1"/>
    <xf numFmtId="0" fontId="40" fillId="0" borderId="15" xfId="7" applyFont="1" applyBorder="1"/>
    <xf numFmtId="0" fontId="20" fillId="0" borderId="29" xfId="7" applyFont="1" applyBorder="1"/>
    <xf numFmtId="0" fontId="20" fillId="0" borderId="0" xfId="7" applyFont="1" applyAlignment="1">
      <alignment horizontal="right"/>
    </xf>
    <xf numFmtId="10" fontId="40" fillId="0" borderId="1" xfId="5" applyNumberFormat="1" applyFont="1" applyBorder="1"/>
    <xf numFmtId="0" fontId="40" fillId="0" borderId="0" xfId="7" applyFont="1" applyAlignment="1">
      <alignment horizontal="left"/>
    </xf>
    <xf numFmtId="10" fontId="20" fillId="0" borderId="10" xfId="7" applyNumberFormat="1" applyFont="1" applyBorder="1"/>
    <xf numFmtId="0" fontId="20" fillId="0" borderId="0" xfId="7" applyFont="1" applyAlignment="1">
      <alignment horizontal="left"/>
    </xf>
    <xf numFmtId="0" fontId="20" fillId="0" borderId="10" xfId="7" applyFont="1" applyBorder="1"/>
    <xf numFmtId="0" fontId="41" fillId="0" borderId="0" xfId="7" applyFont="1"/>
    <xf numFmtId="0" fontId="20" fillId="0" borderId="0" xfId="7" applyFont="1" applyAlignment="1">
      <alignment horizontal="center" vertical="center"/>
    </xf>
    <xf numFmtId="0" fontId="20" fillId="0" borderId="0" xfId="7" applyFont="1" applyAlignment="1">
      <alignment horizontal="center" vertical="center" wrapText="1"/>
    </xf>
    <xf numFmtId="0" fontId="21" fillId="0" borderId="0" xfId="7" applyFont="1" applyAlignment="1">
      <alignment horizontal="left"/>
    </xf>
    <xf numFmtId="167" fontId="20" fillId="0" borderId="0" xfId="11" applyNumberFormat="1" applyFont="1"/>
    <xf numFmtId="0" fontId="20" fillId="0" borderId="0" xfId="7" applyFont="1" applyAlignment="1">
      <alignment horizontal="left" vertical="center"/>
    </xf>
    <xf numFmtId="167" fontId="12" fillId="0" borderId="0" xfId="11" applyNumberFormat="1" applyFont="1" applyAlignment="1">
      <alignment horizontal="center" vertical="center" wrapText="1"/>
    </xf>
    <xf numFmtId="167" fontId="9" fillId="0" borderId="0" xfId="11" applyNumberFormat="1" applyFont="1" applyAlignment="1">
      <alignment horizontal="center" vertical="center" wrapText="1"/>
    </xf>
    <xf numFmtId="0" fontId="12" fillId="0" borderId="0" xfId="7" applyFont="1" applyAlignment="1">
      <alignment horizontal="center" vertical="center" wrapText="1"/>
    </xf>
    <xf numFmtId="167" fontId="40" fillId="0" borderId="0" xfId="11" applyNumberFormat="1" applyFont="1" applyBorder="1" applyAlignment="1">
      <alignment horizontal="center"/>
    </xf>
    <xf numFmtId="9" fontId="40" fillId="0" borderId="0" xfId="5" applyFont="1" applyBorder="1" applyAlignment="1">
      <alignment horizontal="center"/>
    </xf>
    <xf numFmtId="167" fontId="20" fillId="0" borderId="0" xfId="11" applyNumberFormat="1" applyFont="1" applyBorder="1" applyAlignment="1">
      <alignment horizontal="center"/>
    </xf>
    <xf numFmtId="9" fontId="20" fillId="0" borderId="0" xfId="5" applyFont="1" applyBorder="1" applyAlignment="1">
      <alignment horizontal="center"/>
    </xf>
    <xf numFmtId="0" fontId="41" fillId="0" borderId="0" xfId="7" applyFont="1" applyAlignment="1">
      <alignment horizontal="left"/>
    </xf>
    <xf numFmtId="167" fontId="40" fillId="0" borderId="0" xfId="11" applyNumberFormat="1" applyFont="1"/>
    <xf numFmtId="0" fontId="40" fillId="0" borderId="0" xfId="7" applyFont="1" applyAlignment="1">
      <alignment horizontal="center" vertical="center"/>
    </xf>
    <xf numFmtId="0" fontId="20" fillId="0" borderId="1" xfId="7" applyFont="1" applyBorder="1" applyAlignment="1">
      <alignment horizontal="center" wrapText="1"/>
    </xf>
    <xf numFmtId="167" fontId="20" fillId="0" borderId="1" xfId="11" applyNumberFormat="1" applyFont="1" applyBorder="1" applyAlignment="1"/>
    <xf numFmtId="0" fontId="20" fillId="0" borderId="1" xfId="7" applyFont="1" applyBorder="1" applyAlignment="1">
      <alignment horizontal="center"/>
    </xf>
    <xf numFmtId="9" fontId="20" fillId="0" borderId="1" xfId="5" applyFont="1" applyBorder="1" applyAlignment="1"/>
    <xf numFmtId="44" fontId="20" fillId="0" borderId="1" xfId="13" applyFont="1" applyBorder="1" applyAlignment="1"/>
    <xf numFmtId="9" fontId="20" fillId="0" borderId="26" xfId="5" applyFont="1" applyBorder="1" applyAlignment="1">
      <alignment horizontal="center"/>
    </xf>
    <xf numFmtId="9" fontId="20" fillId="0" borderId="27" xfId="5" applyFont="1" applyBorder="1" applyAlignment="1">
      <alignment horizontal="center"/>
    </xf>
    <xf numFmtId="9" fontId="20" fillId="0" borderId="12" xfId="5" applyFont="1" applyBorder="1" applyAlignment="1">
      <alignment horizontal="center"/>
    </xf>
    <xf numFmtId="0" fontId="4" fillId="3" borderId="1" xfId="0" applyFont="1" applyFill="1" applyBorder="1" applyAlignment="1">
      <alignment horizontal="center" vertical="center"/>
    </xf>
    <xf numFmtId="0" fontId="12" fillId="2" borderId="2" xfId="2" applyFont="1" applyFill="1" applyBorder="1" applyAlignment="1">
      <alignment horizontal="center" vertical="center"/>
    </xf>
    <xf numFmtId="0" fontId="12" fillId="2" borderId="5" xfId="2" applyFont="1" applyFill="1" applyBorder="1" applyAlignment="1">
      <alignment horizontal="center" vertical="center"/>
    </xf>
    <xf numFmtId="0" fontId="12" fillId="2" borderId="3" xfId="2" applyFont="1" applyFill="1" applyBorder="1" applyAlignment="1">
      <alignment horizontal="center" vertical="center"/>
    </xf>
    <xf numFmtId="0" fontId="12" fillId="2" borderId="1" xfId="2" applyFont="1" applyFill="1" applyBorder="1" applyAlignment="1">
      <alignment horizontal="center" vertical="center"/>
    </xf>
    <xf numFmtId="0" fontId="12" fillId="2" borderId="3" xfId="2" applyFont="1" applyFill="1" applyBorder="1" applyAlignment="1">
      <alignment horizontal="center"/>
    </xf>
    <xf numFmtId="0" fontId="40" fillId="0" borderId="30" xfId="7" applyFont="1" applyBorder="1" applyAlignment="1">
      <alignment horizontal="center"/>
    </xf>
    <xf numFmtId="0" fontId="40" fillId="0" borderId="31" xfId="7" applyFont="1" applyBorder="1" applyAlignment="1">
      <alignment horizontal="center"/>
    </xf>
    <xf numFmtId="0" fontId="40" fillId="0" borderId="32" xfId="7" applyFont="1" applyBorder="1" applyAlignment="1">
      <alignment horizontal="center"/>
    </xf>
    <xf numFmtId="0" fontId="42" fillId="0" borderId="0" xfId="14" applyFont="1" applyAlignment="1">
      <alignment horizontal="center"/>
    </xf>
    <xf numFmtId="0" fontId="1" fillId="0" borderId="0" xfId="14"/>
    <xf numFmtId="0" fontId="43" fillId="0" borderId="0" xfId="14" applyFont="1"/>
    <xf numFmtId="0" fontId="44" fillId="0" borderId="0" xfId="14" applyFont="1" applyAlignment="1">
      <alignment horizontal="center"/>
    </xf>
    <xf numFmtId="0" fontId="1" fillId="0" borderId="0" xfId="14" applyAlignment="1">
      <alignment horizontal="right" vertical="top" indent="1"/>
    </xf>
    <xf numFmtId="0" fontId="45" fillId="0" borderId="0" xfId="14" applyFont="1" applyAlignment="1">
      <alignment horizontal="left" wrapText="1"/>
    </xf>
    <xf numFmtId="0" fontId="45" fillId="0" borderId="0" xfId="14" applyFont="1"/>
    <xf numFmtId="0" fontId="46" fillId="0" borderId="0" xfId="15"/>
    <xf numFmtId="0" fontId="47" fillId="0" borderId="0" xfId="14" applyFont="1" applyAlignment="1">
      <alignment horizontal="left"/>
    </xf>
    <xf numFmtId="0" fontId="47" fillId="0" borderId="0" xfId="14" applyFont="1" applyAlignment="1">
      <alignment horizontal="center"/>
    </xf>
    <xf numFmtId="0" fontId="47" fillId="0" borderId="0" xfId="14" applyFont="1" applyAlignment="1">
      <alignment horizontal="right"/>
    </xf>
  </cellXfs>
  <cellStyles count="16">
    <cellStyle name="Comma 11 2" xfId="10" xr:uid="{41479936-CC15-4E4D-8E4A-D1DA74661FD8}"/>
    <cellStyle name="Comma 2" xfId="6" xr:uid="{DA4947D6-7204-4B86-B5DB-77A216ED924C}"/>
    <cellStyle name="Comma 3" xfId="11" xr:uid="{AF228076-5451-49E6-99BE-4AB901110F46}"/>
    <cellStyle name="Currency 2" xfId="13" xr:uid="{44E6F7E4-3520-4855-936A-D3D2CBE4C13B}"/>
    <cellStyle name="Currency 2 2" xfId="8" xr:uid="{7AC8E3A5-6704-46ED-9AE6-D0382FD02944}"/>
    <cellStyle name="Hyperlink" xfId="15" builtinId="8"/>
    <cellStyle name="Normal" xfId="0" builtinId="0"/>
    <cellStyle name="Normal 2" xfId="1" xr:uid="{CF2BDEA4-807B-4D8C-8D35-61CA3C861BD0}"/>
    <cellStyle name="Normal 2 2" xfId="3" xr:uid="{FAF675A5-334D-412D-B941-BE56CBEFC175}"/>
    <cellStyle name="Normal 2 3" xfId="7" xr:uid="{418512B9-154D-49B5-8741-2B1E54AEB00D}"/>
    <cellStyle name="Normal 3" xfId="2" xr:uid="{D32E8147-3A48-451D-8FBD-6885E97C10DF}"/>
    <cellStyle name="Normal 4" xfId="14" xr:uid="{F83DF198-0D4B-40A0-B205-AA535B56A063}"/>
    <cellStyle name="Normal 7 2" xfId="9" xr:uid="{08607F81-8521-4F81-8249-B1F55D5FC98B}"/>
    <cellStyle name="Normal 7 3" xfId="12" xr:uid="{3DF53C22-7DAB-4BBC-A20A-3348EB7D22A9}"/>
    <cellStyle name="Percent 2" xfId="4" xr:uid="{0A79CDD5-3DB1-47F4-AAAD-822E0D6F2977}"/>
    <cellStyle name="Percent 3" xfId="5" xr:uid="{B828511D-20BF-4070-ADF2-BC434BF8A0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190501</xdr:colOff>
      <xdr:row>0</xdr:row>
      <xdr:rowOff>171451</xdr:rowOff>
    </xdr:from>
    <xdr:to>
      <xdr:col>2</xdr:col>
      <xdr:colOff>495301</xdr:colOff>
      <xdr:row>3</xdr:row>
      <xdr:rowOff>129827</xdr:rowOff>
    </xdr:to>
    <xdr:pic>
      <xdr:nvPicPr>
        <xdr:cNvPr id="2" name="Picture 1">
          <a:extLst>
            <a:ext uri="{FF2B5EF4-FFF2-40B4-BE49-F238E27FC236}">
              <a16:creationId xmlns:a16="http://schemas.microsoft.com/office/drawing/2014/main" id="{9B3D226E-EAF2-4019-87CF-03EAE0F75A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1" y="171451"/>
          <a:ext cx="1524000" cy="508921"/>
        </a:xfrm>
        <a:prstGeom prst="rect">
          <a:avLst/>
        </a:prstGeom>
      </xdr:spPr>
    </xdr:pic>
    <xdr:clientData/>
  </xdr:twoCellAnchor>
  <xdr:twoCellAnchor>
    <xdr:from>
      <xdr:col>0</xdr:col>
      <xdr:colOff>285750</xdr:colOff>
      <xdr:row>8</xdr:row>
      <xdr:rowOff>57150</xdr:rowOff>
    </xdr:from>
    <xdr:to>
      <xdr:col>9</xdr:col>
      <xdr:colOff>590550</xdr:colOff>
      <xdr:row>8</xdr:row>
      <xdr:rowOff>66675</xdr:rowOff>
    </xdr:to>
    <xdr:cxnSp macro="">
      <xdr:nvCxnSpPr>
        <xdr:cNvPr id="3" name="Straight Connector 2">
          <a:extLst>
            <a:ext uri="{FF2B5EF4-FFF2-40B4-BE49-F238E27FC236}">
              <a16:creationId xmlns:a16="http://schemas.microsoft.com/office/drawing/2014/main" id="{1EC329D3-E0B6-47FB-962F-5BD73FBB376D}"/>
            </a:ext>
          </a:extLst>
        </xdr:cNvPr>
        <xdr:cNvCxnSpPr/>
      </xdr:nvCxnSpPr>
      <xdr:spPr>
        <a:xfrm>
          <a:off x="285750" y="1741170"/>
          <a:ext cx="5791200" cy="9525"/>
        </a:xfrm>
        <a:prstGeom prst="line">
          <a:avLst/>
        </a:prstGeom>
        <a:ln w="12700" cap="rnd">
          <a:solidFill>
            <a:schemeClr val="tx2">
              <a:lumMod val="75000"/>
              <a:lumOff val="2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295275</xdr:colOff>
      <xdr:row>4</xdr:row>
      <xdr:rowOff>152400</xdr:rowOff>
    </xdr:from>
    <xdr:to>
      <xdr:col>9</xdr:col>
      <xdr:colOff>600075</xdr:colOff>
      <xdr:row>4</xdr:row>
      <xdr:rowOff>161925</xdr:rowOff>
    </xdr:to>
    <xdr:cxnSp macro="">
      <xdr:nvCxnSpPr>
        <xdr:cNvPr id="4" name="Straight Connector 3">
          <a:extLst>
            <a:ext uri="{FF2B5EF4-FFF2-40B4-BE49-F238E27FC236}">
              <a16:creationId xmlns:a16="http://schemas.microsoft.com/office/drawing/2014/main" id="{A0AFD625-644C-44DE-A6BE-0A012C524B27}"/>
            </a:ext>
          </a:extLst>
        </xdr:cNvPr>
        <xdr:cNvCxnSpPr/>
      </xdr:nvCxnSpPr>
      <xdr:spPr>
        <a:xfrm>
          <a:off x="295275" y="883920"/>
          <a:ext cx="5791200" cy="9525"/>
        </a:xfrm>
        <a:prstGeom prst="line">
          <a:avLst/>
        </a:prstGeom>
        <a:ln w="12700" cap="rnd">
          <a:solidFill>
            <a:schemeClr val="tx2">
              <a:lumMod val="75000"/>
              <a:lumOff val="2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medeloitte-my.sharepoint.com/Users/qs09/Downloads/SC-2-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brennan.INSCONST\Downloads\ILA-LPM%20Spring%202021%20Exam%20Rubric%20with%20Calibration%20Notes%20(6).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unlifefinancial-my.sharepoint.com/personal/al_na_sunlife_com/Documents/Documents/Personal%20Documents/SOA%20Volunteer/2022%20Spring%20CG/ILA-LPM%20Spring%202022%20Rubric%20Final.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societyofactuaries-my.sharepoint.com/personal/dnorris_soa_org/Documents/Documents/Projects/2025-26%20Curriculum/FINAL%20GUIDED%20EXAMPLES/Fully%20Assembled/CFE101%20Guided%20Examples%202025-2026.xlsx" TargetMode="External"/><Relationship Id="rId1" Type="http://schemas.openxmlformats.org/officeDocument/2006/relationships/externalLinkPath" Target="/personal/dnorris_soa_org/Documents/Documents/Projects/2025-26%20Curriculum/FINAL%20GUIDED%20EXAMPLES/Fully%20Assembled/CFE101%20Guided%20Examples%202025-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Rubric"/>
      <sheetName val="Calc for aii"/>
      <sheetName val="syllabus list"/>
      <sheetName val="LO"/>
    </sheetNames>
    <sheetDataSet>
      <sheetData sheetId="0">
        <row r="2">
          <cell r="E2">
            <v>2022</v>
          </cell>
        </row>
      </sheetData>
      <sheetData sheetId="1">
        <row r="9">
          <cell r="C9" t="str">
            <v>LO#2-2</v>
          </cell>
        </row>
        <row r="10">
          <cell r="C10" t="str">
            <v>LO#2-5</v>
          </cell>
        </row>
        <row r="11">
          <cell r="C11" t="str">
            <v>LO#2-1</v>
          </cell>
        </row>
        <row r="12">
          <cell r="C12" t="e">
            <v>#N/A</v>
          </cell>
        </row>
        <row r="13">
          <cell r="C13" t="e">
            <v>#N/A</v>
          </cell>
        </row>
        <row r="14">
          <cell r="C14" t="e">
            <v>#N/A</v>
          </cell>
        </row>
        <row r="15">
          <cell r="C15" t="e">
            <v>#N/A</v>
          </cell>
        </row>
        <row r="16">
          <cell r="C16" t="e">
            <v>#N/A</v>
          </cell>
        </row>
      </sheetData>
      <sheetData sheetId="2"/>
      <sheetData sheetId="3">
        <row r="4">
          <cell r="B4" t="str">
            <v>LPM-107-07: Experience Assumptions for Individual Life Insurance and Annuities</v>
          </cell>
        </row>
        <row r="5">
          <cell r="B5" t="str">
            <v>LPM-121-13: Life Insurance and Annuity Non-forfeiture Practices</v>
          </cell>
        </row>
        <row r="6">
          <cell r="B6" t="str">
            <v>LPM-134-15: Digital Distribution in Insurance: A Quiet Revolution</v>
          </cell>
        </row>
        <row r="7">
          <cell r="B7" t="str">
            <v>LPM-142-16: Malcolm Life Enhances Its Variable Annuities, 2010</v>
          </cell>
        </row>
        <row r="8">
          <cell r="B8" t="str">
            <v>LPM-147-17: Life Insurance: Focusing on the Consumer (excluding Appendices)</v>
          </cell>
        </row>
        <row r="9">
          <cell r="B9" t="str">
            <v>LPM-148-19: Ch. 9 of Life Insurance Products and Finance, Atkinson and Dallas</v>
          </cell>
        </row>
        <row r="10">
          <cell r="B10" t="str">
            <v>LPM-xxx-21: Ch. 11, pp. 499-512 of Life Insurance Products and Finance, Atkinson and Dallas</v>
          </cell>
        </row>
        <row r="11">
          <cell r="B11" t="str">
            <v>LPM-150-19: Tax Reform Impacts on Life Insurance Pricing and Profitability, 2018</v>
          </cell>
        </row>
        <row r="12">
          <cell r="B12" t="str">
            <v>LPM-151-19: Transamerica Term Life: Understanding Post-Level Experience</v>
          </cell>
        </row>
        <row r="13">
          <cell r="B13" t="str">
            <v>LPM-152-19: Lapse Supported Insurance Analysis</v>
          </cell>
        </row>
        <row r="14">
          <cell r="B14" t="str">
            <v>LPM-165-20: Life Products and Features</v>
          </cell>
        </row>
        <row r="15">
          <cell r="B15" t="str">
            <v>LPM-166-20: Annuity Product and Features</v>
          </cell>
        </row>
        <row r="16">
          <cell r="B16" t="str">
            <v>LPM-171-21: Excerpts from Ch. 12 and Ch. 18: Statutory Valuation of Individual Life and Annuity Contracts, Claire, D., Lombardi, L. and Summers, S., 5th Edition, 2018 (Sections 12.2 &amp; 12.4 and section 18.2, 18.3.2, 18.3.3 only)</v>
          </cell>
        </row>
        <row r="17">
          <cell r="B17" t="str">
            <v>ASOP 2: Non-guaranteed Charges or Benefits for Life Insurance Policies and Annuity Contracts, exposure draft, June 2020 (excluding Appendices)</v>
          </cell>
        </row>
        <row r="18">
          <cell r="B18" t="str">
            <v>ASOP 54: Pricing of Life and Annuity Products, Jun 2018</v>
          </cell>
        </row>
        <row r="19">
          <cell r="B19" t="str">
            <v>LPM-XXX-22: Standards of Practice, Canadian Institute of Actuaries Actuarial Standards Board, 2022, Section 1600</v>
          </cell>
        </row>
        <row r="20">
          <cell r="B20" t="str">
            <v>Impact of VM-20 on Life Insurance Product Development, SOA Research, Nov 2016, pp. 1-31 (excluding discussion of 20-year term)</v>
          </cell>
        </row>
        <row r="21">
          <cell r="B21" t="str">
            <v>The Use of Predictive Analytics in the Development of Experience Studies, The Actuary, Oct/Nov 2015, pp. 26-34</v>
          </cell>
        </row>
        <row r="22">
          <cell r="B22" t="str">
            <v>Variable Annuity Guaranteed Living Benefits Utilization, SOA LIMRA Research, 2018, Executive Summary only (pp. 19-32)</v>
          </cell>
        </row>
        <row r="23">
          <cell r="B23" t="str">
            <v>Predictive Modeling for Life Insurance: Ways Life Insurers Can Participate in the Business Analytics Revolution, Product Matters, Jun 2018</v>
          </cell>
        </row>
        <row r="24">
          <cell r="B24" t="str">
            <v>Macro-Pricing, Product Development Monograph, pp. 11-41</v>
          </cell>
        </row>
        <row r="25">
          <cell r="B25" t="str">
            <v>Life Insurance Acceleration Riders, SOA Reinsurance News, 2013, pp. 35-38</v>
          </cell>
        </row>
        <row r="26">
          <cell r="B26" t="str">
            <v>The Response of Life Insurance Pricing to Life Settlements, Product Matters, Sep 2006</v>
          </cell>
        </row>
        <row r="27">
          <cell r="B27" t="str">
            <v>Risk Based Pricing – Risk Management at Point of Sale, Product Matters, Jun 2009</v>
          </cell>
        </row>
        <row r="28">
          <cell r="B28" t="str">
            <v>Life Insurance for the Digital Age:  An End-to-End View, Product Matters, Nov 2017</v>
          </cell>
        </row>
        <row r="29">
          <cell r="B29" t="str">
            <v>Term Conversions: Pricing and Reserving, Product Matters, Mar 2017</v>
          </cell>
        </row>
        <row r="30">
          <cell r="B30" t="str">
            <v>Term Conversions - A Reinsurers Perspective, Product Matters, Jun 2012</v>
          </cell>
        </row>
        <row r="31">
          <cell r="B31" t="str">
            <v>Term Mortality and Lapses, Product Matters, Aug 2005</v>
          </cell>
        </row>
        <row r="32">
          <cell r="B32" t="str">
            <v>Ending the Mortality Table, Living to 100 Symposium</v>
          </cell>
        </row>
        <row r="33">
          <cell r="B33" t="str">
            <v>Post Level Term Experience Results, 2014, pp. 21-44</v>
          </cell>
        </row>
        <row r="34">
          <cell r="B34" t="str">
            <v>Level Term Lapse Rates – Lessons Learned Here and in Canada, Product Matters, Oct 2011, pp. 11-14</v>
          </cell>
        </row>
        <row r="35">
          <cell r="B35" t="str">
            <v>Modeling of Policyholder Behavior for Life and Annuity Products, SOA, 2014, pp. 6, 9-16 &amp; 19-73</v>
          </cell>
        </row>
        <row r="36">
          <cell r="B36" t="str">
            <v>Report on Premium Persistency Assumptions Study of Flexible Premium Universal Life Products, May 2012, pp. 9-15</v>
          </cell>
        </row>
        <row r="37">
          <cell r="B37" t="str">
            <v>Understanding the Volatility Experience and Pricing Assumptions in Long-Term Care Insurance, 2014, pp. 4-46</v>
          </cell>
        </row>
        <row r="38">
          <cell r="B38" t="str">
            <v>Report on the Conversion Experience Study for the Level Premium Term Plans, 2016, pp. 6-9, 39-40 &amp; Appendix B</v>
          </cell>
        </row>
        <row r="39">
          <cell r="B39" t="str">
            <v>Long-Term Care Insurance: The SOA Pricing Project, 2016</v>
          </cell>
        </row>
        <row r="40">
          <cell r="B40" t="str">
            <v>Table Development, Feb 2018 (excluding Appendices C, D, F, G &amp; H)</v>
          </cell>
        </row>
        <row r="41">
          <cell r="B41" t="str">
            <v>LPM-113-09: Economics of Insurance: How Insurers Create Value for Shareholders, pp. 4-31</v>
          </cell>
        </row>
        <row r="42">
          <cell r="B42" t="str">
            <v>LPM-153-19: Life in-force Management: Improving Consumer Value and Long-Term Profitability</v>
          </cell>
        </row>
        <row r="43">
          <cell r="B43" t="str">
            <v>LPM-155-19: Understanding Profitability in Life Insurance</v>
          </cell>
        </row>
        <row r="44">
          <cell r="B44" t="str">
            <v>Relationship of IRR to ROI on a Level Term Life Insurance Policy, Product Matters, Jun 2013, pp. 18-21</v>
          </cell>
        </row>
        <row r="45">
          <cell r="B45" t="str">
            <v>Evolving Strategies to Improve Inforce Post-Level Term Profitability, Product Matters, Feb 2015, pp. 23-29</v>
          </cell>
        </row>
        <row r="46">
          <cell r="B46" t="str">
            <v>LPM-110-07: Policyholder Dividends</v>
          </cell>
        </row>
        <row r="47">
          <cell r="B47" t="str">
            <v>LPM-133-16: Testing for Adverse Selection in Life Settlements: The Secondary Market for Life Insurance Policies, pp. 2-18</v>
          </cell>
        </row>
        <row r="48">
          <cell r="B48" t="str">
            <v>LPM-156-19: The Impact of Stochastic Volatility on Pricing, Hedging and Hedge Efficiency of Withdrawal Benefit Guarantees in Variable Annuities (Note: Candidates not responsible for mathematical derivations or detailed results, but should understand concepts and methodology)</v>
          </cell>
        </row>
        <row r="49">
          <cell r="B49" t="str">
            <v>LPM-157-19: Diversification of Longevity and Mortality Risk</v>
          </cell>
        </row>
        <row r="50">
          <cell r="B50" t="str">
            <v>LPM-167-20: TransUnion’s TrueRisk Life Creation and Validation of the Industry’s Leading Credit-Based Insurance Score</v>
          </cell>
        </row>
        <row r="51">
          <cell r="B51" t="str">
            <v>LPM-168-20: LexisNexis® Risk Classifier – stratifying mortality risk using alternative data sources</v>
          </cell>
        </row>
        <row r="52">
          <cell r="B52" t="str">
            <v>LPM-171-21: Excerpts from Ch. 12: Statutory Valuation of Individual Life and Annuity Contracts, Claire, D., Lombardi, L. and Summers, S., 5th Edition, 2018 (Section 12.3 &amp; 12.4 only)</v>
          </cell>
        </row>
        <row r="53">
          <cell r="B53" t="str">
            <v>Transition to a High Interest Rate Environment: Preparing for Uncertainty, SOA Research, Jul 2015, Executive Summary, section IV: parts C (1-4 &amp; 8-11 only), D, E &amp; H</v>
          </cell>
        </row>
        <row r="54">
          <cell r="B54" t="str">
            <v>Experience Study Calculations, Oct 2016, sections 2-4, 11, 12, 15, 17 &amp; 18 (excluding 18.2, 18.8 &amp; 18.9)</v>
          </cell>
        </row>
        <row r="55">
          <cell r="B55" t="str">
            <v>Credibility Theory Practices, 2009 (excluding Appendices and formula derivations)</v>
          </cell>
        </row>
        <row r="56">
          <cell r="B56" t="str">
            <v>Life, Health &amp; Annuity Reinsurance, Tiller, John E. and Tiller, Denise, 4th Edition, 2015 - Ch. 4: Basic Methods of Reinsurance</v>
          </cell>
        </row>
        <row r="57">
          <cell r="B57" t="str">
            <v>Life, Health &amp; Annuity Reinsurance, Tiller, John E. and Tiller, Denise, 4th Edition, 2015 - Ch. 5: Advanced Methods and Structures of Reinsurance</v>
          </cell>
        </row>
        <row r="58">
          <cell r="B58" t="str">
            <v>Life, Health &amp; Annuity Reinsurance, Tiller, John E. and Tiller, Denise, 4th Edition, 2015 - Ch. 6: Assumption</v>
          </cell>
        </row>
        <row r="59">
          <cell r="B59" t="str">
            <v>Life, Health &amp; Annuity Reinsurance, Tiller, John E. and Tiller, Denise, 4th Edition, 2015 - Ch. 7: Reinsurance of Inforce Risks</v>
          </cell>
        </row>
        <row r="60">
          <cell r="B60" t="str">
            <v>Life, Health &amp; Annuity Reinsurance, Tiller, John E. and Tiller, Denise, 4th Edition, 2015 - Ch. 9: Risk Transfer Considerations (pp. 269-280)</v>
          </cell>
        </row>
        <row r="61">
          <cell r="B61" t="str">
            <v xml:space="preserve">Life, Health &amp; Annuity Reinsurance, Tiller, John E. and Tiller, Denise, 4th Edition, 2015 - Ch. 17: Nonproportional Reinsurance </v>
          </cell>
        </row>
        <row r="62">
          <cell r="B62" t="str">
            <v>LPM-160-19: Strategic Reinsurance and Insurance: The Increasing Trend of Customized Solutions, pp. 1-4, 14-15 &amp; 18-31</v>
          </cell>
        </row>
        <row r="63">
          <cell r="B63" t="str">
            <v>Managing Investment Portfolios, Maginn, John L. and Tuttle, Donald L., 3rd Edition, 2007 - Ch. 3: Managing Institutional Investor Portfolios (section 4.1)</v>
          </cell>
        </row>
        <row r="64">
          <cell r="B64" t="str">
            <v>Managing Investment Portfolios, Maginn, John L. and Tuttle, Donald L., 3rd Edition, 2007 - Ch. 5: Asset Allocation (sections 2-4)</v>
          </cell>
        </row>
        <row r="65">
          <cell r="B65" t="str">
            <v>Managing Investment Portfolios, Maginn, John L. and Tuttle, Donald L., 3rd Edition, 2007 - Ch. 6: Fixed-Income Portfolio Management (sections 1-5)</v>
          </cell>
        </row>
        <row r="66">
          <cell r="B66" t="str">
            <v>Managing Investment Portfolios, Maginn, John L. and Tuttle, Donald L., 3rd Edition, 2007 - Ch. 8: Alternative Investments Portfolio Management (section 3)</v>
          </cell>
        </row>
        <row r="67">
          <cell r="B67" t="str">
            <v>Managing Investment Portfolios, Maginn, John L. and Tuttle, Donald L., 3rd Edition, 2007 - Ch.12: Evaluating Portfolio Performance (section 4)</v>
          </cell>
        </row>
        <row r="68">
          <cell r="B68" t="str">
            <v>Handbook of Fixed Income Securities, Fabozzi, Frank J., 9th Edition, 2021 - Ch. 4: Bond Pricing, Yield Measures and Total Return (pp. 76-93)</v>
          </cell>
        </row>
        <row r="69">
          <cell r="B69" t="str">
            <v>Handbook of Fixed Income Securities, Fabozzi, Frank J., 9th Edition, 2021 - Ch. 7: U.S. Treasury Securities (pp. 171-184)</v>
          </cell>
        </row>
        <row r="70">
          <cell r="B70" t="str">
            <v>Handbook of Fixed Income Securities, Fabozzi, Frank J., 9th Edition, 2021 - Ch. 8: Agency Debt Securities (pp. 185-196)</v>
          </cell>
        </row>
        <row r="71">
          <cell r="B71" t="str">
            <v>Handbook of Fixed Income Securities, Fabozzi, Frank J., 9th Edition, 2021 - Ch. 9: Municipal Bonds (pp. 201-204 &amp; 209-221)</v>
          </cell>
        </row>
        <row r="72">
          <cell r="B72" t="str">
            <v>Handbook of Fixed Income Securities, Fabozzi, Frank J., 9th Edition, 2021 - Ch. 10: Corporate Bonds (pp. 235-262, excluding exhibits 10-1 &amp; 10-2)</v>
          </cell>
        </row>
        <row r="73">
          <cell r="B73" t="str">
            <v>Handbook of Fixed Income Securities, Fabozzi, Frank J., 9th Edition, 2021 - Ch. 13: Commercial Paper (pp. 301-310)</v>
          </cell>
        </row>
        <row r="74">
          <cell r="B74" t="str">
            <v>Handbook of Fixed Income Securities, Fabozzi, Frank J., 9th Edition, 2021 - Ch. 14: Floating-Rate Securities</v>
          </cell>
        </row>
        <row r="75">
          <cell r="B75" t="str">
            <v>Handbook of Fixed Income Securities, Fabozzi, Frank J., 9th Edition, 2021 - Ch. 21: An Overview of Mortgages and the Mortgage Market</v>
          </cell>
        </row>
        <row r="76">
          <cell r="B76" t="str">
            <v>Handbook of Fixed Income Securities, Fabozzi, Frank J., 9th Edition, 2021 - Ch. 22: Agency Mortgage Passthrough Securities</v>
          </cell>
        </row>
        <row r="77">
          <cell r="B77" t="str">
            <v>Handbook of Fixed Income Securities, Fabozzi, Frank J., 9th Edition, 2021 - Ch. 23: Agency Collateralized Mortgage Obligations (pp. 499-508 &amp; 520-528)</v>
          </cell>
        </row>
        <row r="78">
          <cell r="B78" t="str">
            <v>Handbook of Fixed Income Securities, Fabozzi, Frank J., 9th Edition, 2021 - Ch. 60: Financial Positions in the Bond Market (pp. 1485-1488)</v>
          </cell>
        </row>
        <row r="79">
          <cell r="B79" t="str">
            <v>Handbook of Fixed Income Securities, Fabozzi, Frank J., 9th Edition, 2021 - Ch. 64: Interest-Rate Swaps (pp. 1575-1580 &amp; 1588-1589)</v>
          </cell>
        </row>
        <row r="80">
          <cell r="B80" t="str">
            <v>Handbook of Fixed Income Securities, Fabozzi, Frank J., 9th Edition, 2021 - Ch. 68: Credit Derivatives (pp. 1657-1671)</v>
          </cell>
        </row>
        <row r="81">
          <cell r="B81" t="str">
            <v>LPM-161-19: High-Yield Bond Market Primer</v>
          </cell>
        </row>
        <row r="82">
          <cell r="B82" t="str">
            <v>LPM-162-19: Liquidity Risk Management: Best Risk Management Practices</v>
          </cell>
        </row>
        <row r="83">
          <cell r="B83" t="str">
            <v>LPM-163-19: Managing your Advisor: A Guide to Getting the Most Out of the Portfolio Management Process</v>
          </cell>
        </row>
        <row r="84">
          <cell r="B84" t="str">
            <v>LPM-164-19: Ch. 7 (sections 7.2-7.5 &amp; 7A) of Derivatives Markets, McDonald, 3rd Edition</v>
          </cell>
        </row>
        <row r="85">
          <cell r="B85" t="str">
            <v>LPM-169-20: Secured Overnight Financing Rate (SOFR)</v>
          </cell>
        </row>
        <row r="86">
          <cell r="B86" t="str">
            <v>LPM-170-20: LIBOR’s Demise and a $200 Trillion Question</v>
          </cell>
        </row>
        <row r="88">
          <cell r="A88" t="str">
            <v>LO#1</v>
          </cell>
          <cell r="B88" t="str">
            <v>Retrieval</v>
          </cell>
        </row>
        <row r="89">
          <cell r="A89" t="str">
            <v>LO#2</v>
          </cell>
          <cell r="B89" t="str">
            <v>Comprehension</v>
          </cell>
        </row>
        <row r="90">
          <cell r="A90" t="str">
            <v>LO#3</v>
          </cell>
          <cell r="B90" t="str">
            <v>Analysis</v>
          </cell>
        </row>
        <row r="91">
          <cell r="A91" t="str">
            <v>LO#4</v>
          </cell>
          <cell r="B91" t="str">
            <v>Knowledge Utilization</v>
          </cell>
        </row>
        <row r="92">
          <cell r="A92" t="str">
            <v>LO#5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ummary"/>
      <sheetName val="All"/>
      <sheetName val="Coverage"/>
      <sheetName val="BP-1-2020"/>
      <sheetName val="AA-1-2020"/>
      <sheetName val="Spring 2021 LPM Q2 Calibration"/>
      <sheetName val="Part a"/>
      <sheetName val="Part b"/>
      <sheetName val="Part c"/>
      <sheetName val="AA-1-2020 calc"/>
      <sheetName val="AA-1-2020 calc corrected"/>
      <sheetName val="DF-1-2020"/>
      <sheetName val="JR-1-2020"/>
      <sheetName val="JR-1-2020 calc"/>
      <sheetName val="KW-1-2020"/>
      <sheetName val="MD-1-2020"/>
      <sheetName val="MD-1-2020 calc"/>
      <sheetName val="SM-1-2019"/>
      <sheetName val="SM-1-2019 Calc"/>
      <sheetName val="SR-1-2020"/>
      <sheetName val="TL-1-2020"/>
      <sheetName val="TL-2-2020"/>
      <sheetName val="TL-Calc's"/>
      <sheetName val="Rubric Template"/>
      <sheetName val="BL-1-2020"/>
      <sheetName val="syllabus list"/>
      <sheetName val="ILA Prod Mgmt LOs and Mapp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9">
          <cell r="C9" t="str">
            <v xml:space="preserve">LO#3-2, </v>
          </cell>
        </row>
        <row r="10">
          <cell r="C10" t="str">
            <v xml:space="preserve">LO#3-9, </v>
          </cell>
        </row>
        <row r="11">
          <cell r="C11" t="str">
            <v xml:space="preserve">LO#3-10, </v>
          </cell>
        </row>
        <row r="12">
          <cell r="C12" t="e">
            <v>#N/A</v>
          </cell>
        </row>
        <row r="13">
          <cell r="C13" t="e">
            <v>#N/A</v>
          </cell>
        </row>
        <row r="14">
          <cell r="C14" t="e">
            <v>#N/A</v>
          </cell>
        </row>
        <row r="15">
          <cell r="C15" t="e">
            <v>#N/A</v>
          </cell>
        </row>
        <row r="16">
          <cell r="C16" t="e">
            <v>#N/A</v>
          </cell>
        </row>
      </sheetData>
      <sheetData sheetId="26">
        <row r="4">
          <cell r="B4" t="str">
            <v>LPM-107-07: Experience Assumptions for Individual Life Insurance and Annuities</v>
          </cell>
        </row>
        <row r="5">
          <cell r="B5" t="str">
            <v>LPM-121-13: Life Insurance and Annuity Non-forfeiture Practices</v>
          </cell>
        </row>
        <row r="6">
          <cell r="B6" t="str">
            <v>LPM-134-15: Digital Distribution in Insurance: A Quiet Revolution</v>
          </cell>
        </row>
        <row r="7">
          <cell r="B7" t="str">
            <v>LPM-142-16: Malcolm Life Enhances Its Variable Annuities, 2010</v>
          </cell>
        </row>
        <row r="8">
          <cell r="B8" t="str">
            <v>LPM-147-17: Life Insurance: Focusing on the Consumer (excluding Appendices)</v>
          </cell>
        </row>
        <row r="9">
          <cell r="B9" t="str">
            <v>LPM-148-19: Ch. 9 of Life Insurance Products and Finance, Atkinson and Dallas</v>
          </cell>
        </row>
        <row r="10">
          <cell r="B10" t="str">
            <v>LPM-149-19: Ch. 11, pp. 499-502 of Life Insurance Products and Finance, Atkinson and Dallas</v>
          </cell>
        </row>
        <row r="11">
          <cell r="B11" t="str">
            <v>LPM-150-19: Tax Reform Impacts on Life Insurance Pricing and Profitability, 2018</v>
          </cell>
        </row>
        <row r="12">
          <cell r="B12" t="str">
            <v>LPM-151-19: Transamerica Term Life: Understanding Post-Level Experience</v>
          </cell>
        </row>
        <row r="13">
          <cell r="B13" t="str">
            <v>LPM-152-19: Lapse Supported Insurance Analysis</v>
          </cell>
        </row>
        <row r="14">
          <cell r="B14" t="str">
            <v>LPM-165-19: Life Products and Features, ILA Committee, 2019</v>
          </cell>
        </row>
        <row r="15">
          <cell r="B15" t="str">
            <v>LPM-166-19: Annuity Product and Features, ILA Committee, 2019</v>
          </cell>
        </row>
        <row r="16">
          <cell r="B16" t="str">
            <v>ASOP 2: Non-guaranteed Charges or Benefits for Life Insurance Policies and Annuity Contracts, May 2011 (excluding Appendices)</v>
          </cell>
        </row>
        <row r="17">
          <cell r="B17" t="str">
            <v>ASOP 54: Pricing of Life and Annuity Products, Jun 2018</v>
          </cell>
        </row>
        <row r="18">
          <cell r="B18" t="str">
            <v>Impact of VM-20 on Life Insurance Product Development, SOA Research, Nov 2016, pp. 1-31 (excluding discussion of 20-year term)</v>
          </cell>
        </row>
        <row r="19">
          <cell r="B19" t="str">
            <v>The Use of Predictive Analytics in the Development of Experience Studies, The Actuary, 2015, pp. 26-34</v>
          </cell>
        </row>
        <row r="20">
          <cell r="B20" t="str">
            <v>Variable Annuity Guaranteed Living Benefits Utilization, SOA LIMRA Research, 2018, Executive Summary only (pp. 19-32)</v>
          </cell>
        </row>
        <row r="21">
          <cell r="B21" t="str">
            <v>Predictive Modeling for Life Insurance: Ways Life Insurers Can Participate in the Business Analytics Revolution, Product Matters, 2018</v>
          </cell>
        </row>
        <row r="22">
          <cell r="B22" t="str">
            <v>Macro-Pricing, Product Development Monograph, pp. 11-41</v>
          </cell>
        </row>
        <row r="23">
          <cell r="B23" t="str">
            <v>Life Insurance Acceleration Riders, SOA Reinsurance News, 2013, pp. 35-38</v>
          </cell>
        </row>
        <row r="24">
          <cell r="B24" t="str">
            <v>The Response of Life Insurance Pricing to Life Settlements, Product Matters, Sep 2006</v>
          </cell>
        </row>
        <row r="25">
          <cell r="B25" t="str">
            <v>Risk Based Pricing – Risk Management at Point of Sale, Product Matters, Jun 2009</v>
          </cell>
        </row>
        <row r="26">
          <cell r="B26" t="str">
            <v>Report on Pricing Using Market Consistent Embedded Value (MCEV), Jun 2012 (excluding Appendix 2)</v>
          </cell>
        </row>
        <row r="27">
          <cell r="B27" t="str">
            <v>Life Insurance for the Digital Age:  An End-to-End View, Product Matters, Nov 2017</v>
          </cell>
        </row>
        <row r="28">
          <cell r="B28" t="str">
            <v>Term Conversions: Pricing and Reserving, Product Matters, Mar 2017</v>
          </cell>
        </row>
        <row r="29">
          <cell r="B29" t="str">
            <v>Term Conversions - A Reinsurers Perspective, Product Matters, Jun 2012</v>
          </cell>
        </row>
        <row r="30">
          <cell r="B30" t="str">
            <v>Setting Assumptions, Exposure Draft, ASOP, Dec 2016</v>
          </cell>
        </row>
        <row r="31">
          <cell r="B31" t="str">
            <v>Term Mortality and Lapses, Product Matters, Aug 2005</v>
          </cell>
        </row>
        <row r="32">
          <cell r="B32" t="str">
            <v>Ending the Mortality Table, Living to 100 Symposium</v>
          </cell>
        </row>
        <row r="33">
          <cell r="B33" t="str">
            <v>Post Level Term Experience Results, 2014, pp. 21-44</v>
          </cell>
        </row>
        <row r="34">
          <cell r="B34" t="str">
            <v>Level Term Lapse Rates – Lessons Learned Here and in Canada, Product Matters, Oct 2011, pp. 11-14</v>
          </cell>
        </row>
        <row r="35">
          <cell r="B35" t="str">
            <v>Modeling of Policyholder Behavior for Life and Annuity Products, SOA, 2014, pp. 6, 9-16 &amp; 19-73</v>
          </cell>
        </row>
        <row r="36">
          <cell r="B36" t="str">
            <v>Report on Premium Persistency Assumptions Study of Flexible Premium Universal Life Products, May 2012, pp. 9-15</v>
          </cell>
        </row>
        <row r="37">
          <cell r="B37" t="str">
            <v>Understanding the Volatility Experience and Pricing Assumptions in Long-Term Care Insurance, 2014, pp. 4-46</v>
          </cell>
        </row>
        <row r="38">
          <cell r="B38" t="str">
            <v>Report on the Conversion Experience Study for the Level Premium Term Plans, 2016, pp. 6-9, 39-40 &amp; Appendix B</v>
          </cell>
        </row>
        <row r="39">
          <cell r="B39" t="str">
            <v>Long-Term Care Insurance: The SOA Pricing Project, 2016</v>
          </cell>
        </row>
        <row r="40">
          <cell r="B40" t="str">
            <v>Table Development, Feb 2018 (excluding Appendices C, D, F, G &amp; H)</v>
          </cell>
        </row>
        <row r="41">
          <cell r="B41" t="str">
            <v>LPM-113-09: Economics of Insurance: How Insurers Create Value for Shareholders, pp. 4-31</v>
          </cell>
        </row>
        <row r="42">
          <cell r="B42" t="str">
            <v>LPM-153-19: Life in-force Management: Improving Consumer Value and Long-Term Profitability</v>
          </cell>
        </row>
        <row r="43">
          <cell r="B43" t="str">
            <v xml:space="preserve">LPM-154-19: Introduction to Source of Earnings Analysis, 2015, Exclude Appendix </v>
          </cell>
        </row>
        <row r="44">
          <cell r="B44" t="str">
            <v>LPM-155-19: Understanding Profitability in Life Insurance</v>
          </cell>
        </row>
        <row r="45">
          <cell r="B45" t="str">
            <v>Earnings Emergence Insurance Accounting under Multiple Financial Reporting Bases, 2015, pp. 4-6, 10-24 &amp; 45-53</v>
          </cell>
        </row>
        <row r="46">
          <cell r="B46" t="str">
            <v>Relationship of IRR to ROI on a Level Term Life Insurance Policy, Product Matters, Jun 2013, pp. 18-21</v>
          </cell>
        </row>
        <row r="47">
          <cell r="B47" t="str">
            <v>Evolving Strategies to Improve Inforce Post-Level Term Profitability, Product Matters, Feb 2015, pp. 23-29</v>
          </cell>
        </row>
        <row r="48">
          <cell r="B48" t="str">
            <v>LPM-110-07: Policyholder Dividends</v>
          </cell>
        </row>
        <row r="49">
          <cell r="B49" t="str">
            <v>LPM-133-16: Testing for Adverse Selection in Life Settlements: The Secondary Market for Life Insurance Policies, pp. 2-18</v>
          </cell>
        </row>
        <row r="50">
          <cell r="B50" t="str">
            <v>LPM-156-19: The Impact of Stochastic Volatility on Pricing, Hedging and Hedge Efficiency of Withdrawal Benefit Guarantees in Variable Annuities (Note: Candidates not responsible for mathematical derivations or detailed results, but should understand concepts and methodology)</v>
          </cell>
        </row>
        <row r="51">
          <cell r="B51" t="str">
            <v>LPM-157-19: Diversification of Longevity and Mortality Risk</v>
          </cell>
        </row>
        <row r="52">
          <cell r="B52" t="str">
            <v>LPM-159-19: New York State Department of Financial Services 11 NYCRR 48 (Insurance Regulation 210), pp. 4-9</v>
          </cell>
        </row>
        <row r="53">
          <cell r="B53" t="str">
            <v>Transition to a High Interest Rate Environment: Preparing for Uncertainty, SOA Research, Jul 2015, Executive Summary, section IV: parts C (1-4 &amp; 8-11 only), D, E &amp; H</v>
          </cell>
        </row>
        <row r="54">
          <cell r="B54" t="str">
            <v>Experience Study Calculations, Oct 2016, sections 2-4, 11, 12, 15, 17 &amp; 18 (excluding 18.2, 18.8 &amp; 18.9)</v>
          </cell>
        </row>
        <row r="55">
          <cell r="B55" t="str">
            <v>Credibility Theory Practices, 2009 (excluding Appendices and formula derivations)</v>
          </cell>
        </row>
        <row r="56">
          <cell r="B56" t="str">
            <v>TransUnion’s TrueRisk Life Creation and Validation of the Industry’s Leading Credit-Based Insurance Score, RGA, 2019</v>
          </cell>
        </row>
        <row r="57">
          <cell r="B57" t="str">
            <v>LexisNexis® Risk Classifier – stratifying mortality risk using alternative data sources</v>
          </cell>
        </row>
        <row r="58">
          <cell r="B58" t="str">
            <v>Life, Health &amp; Annuity Reinsurance, Tiller, John E. and Tiller, Denise, 4th Edition, 2015 - Ch. 4: Basic Methods of Reinsurance</v>
          </cell>
        </row>
        <row r="59">
          <cell r="B59" t="str">
            <v>Life, Health &amp; Annuity Reinsurance, Tiller, John E. and Tiller, Denise, 4th Edition, 2015 - Ch. 5: Advanced Methods and Structures of Reinsurance</v>
          </cell>
        </row>
        <row r="60">
          <cell r="B60" t="str">
            <v>Life, Health &amp; Annuity Reinsurance, Tiller, John E. and Tiller, Denise, 4th Edition, 2015 - Ch. 6: Assumption</v>
          </cell>
        </row>
        <row r="61">
          <cell r="B61" t="str">
            <v>Life, Health &amp; Annuity Reinsurance, Tiller, John E. and Tiller, Denise, 4th Edition, 2015 - Ch. 7: Reinsurance of Inforce Risks</v>
          </cell>
        </row>
        <row r="62">
          <cell r="B62" t="str">
            <v>Life, Health &amp; Annuity Reinsurance, Tiller, John E. and Tiller, Denise, 4th Edition, 2015 - Ch. 9: Risk Transfer Considerations (pp. 269-280)</v>
          </cell>
        </row>
        <row r="63">
          <cell r="B63" t="str">
            <v xml:space="preserve">Life, Health &amp; Annuity Reinsurance, Tiller, John E. and Tiller, Denise, 4th Edition, 2015 - Ch. 17: Nonproportional Reinsurance </v>
          </cell>
        </row>
        <row r="64">
          <cell r="B64" t="str">
            <v>LPM-160-19: Strategic Reinsurance and Insurance: The Increasing Trend of Customized Solutions, pp. 1-4, 14-15 &amp; 18-31</v>
          </cell>
        </row>
        <row r="65">
          <cell r="B65" t="str">
            <v>Managing Investment Portfolios, Maginn, John L. and Tuttle, Donald L., 3rd Edition, 2007 - Ch. 3: Managing Institutional Investor Portfolios (section 4.1)</v>
          </cell>
        </row>
        <row r="66">
          <cell r="B66" t="str">
            <v>Managing Investment Portfolios, Maginn, John L. and Tuttle, Donald L., 3rd Edition, 2007 - Ch. 5: Asset Allocation (sections 2-4)</v>
          </cell>
        </row>
        <row r="67">
          <cell r="B67" t="str">
            <v>Managing Investment Portfolios, Maginn, John L. and Tuttle, Donald L., 3rd Edition, 2007 - Ch. 6: Fixed-Income Portfolio Management (sections 1-5)</v>
          </cell>
        </row>
        <row r="68">
          <cell r="B68" t="str">
            <v>Managing Investment Portfolios, Maginn, John L. and Tuttle, Donald L., 3rd Edition, 2007 - Ch. 8: Alternative Investments Portfolio Management (section 3)</v>
          </cell>
        </row>
        <row r="69">
          <cell r="B69" t="str">
            <v>Managing Investment Portfolios, Maginn, John L. and Tuttle, Donald L., 3rd Edition, 2007 - Ch.12: Evaluating Portfolio Performance (section 4)</v>
          </cell>
        </row>
        <row r="70">
          <cell r="B70" t="str">
            <v>Handbook of Fixed Income Securities, Fabozzi, Frank J., 8th Edition, 2012 - Ch. 6: Bond Pricing, Yield Measures and Total Return (pp. 102-120)</v>
          </cell>
        </row>
        <row r="71">
          <cell r="B71" t="str">
            <v>Handbook of Fixed Income Securities, Fabozzi, Frank J., 8th Edition, 2012 - Ch. 9: U.S. Treasury Securities (pp. 194-205)</v>
          </cell>
        </row>
        <row r="72">
          <cell r="B72" t="str">
            <v>Handbook of Fixed Income Securities, Fabozzi, Frank J., 8th Edition, 2012 - Ch. 10: Agency Debt Securities (pp. 207-220)</v>
          </cell>
        </row>
        <row r="73">
          <cell r="B73" t="str">
            <v>Handbook of Fixed Income Securities, Fabozzi, Frank J., 8th Edition, 2012 - Ch. 11: Municipal Bonds (pp. 225-230 &amp; 234-246)</v>
          </cell>
        </row>
        <row r="74">
          <cell r="B74" t="str">
            <v>Handbook of Fixed Income Securities, Fabozzi, Frank J., 8th Edition, 2012 - Ch. 12: Corporate Bonds (pp. 259-287, excluding exhibits 12-1 &amp; 12-2)</v>
          </cell>
        </row>
        <row r="75">
          <cell r="B75" t="str">
            <v>Handbook of Fixed Income Securities, Fabozzi, Frank J., 8th Edition, 2012 - Ch. 16: Private Money Market Instruments (pp. 337-340 &amp; 345-351)</v>
          </cell>
        </row>
        <row r="76">
          <cell r="B76" t="str">
            <v>Handbook of Fixed Income Securities, Fabozzi, Frank J., 8th Edition, 2012 - Ch. 17: Floating-Rate Securities</v>
          </cell>
        </row>
        <row r="77">
          <cell r="B77" t="str">
            <v>Handbook of Fixed Income Securities, Fabozzi, Frank J., 8th Edition, 2012 - Ch. 24: An Overview of Mortgages and the Mortgage Market</v>
          </cell>
        </row>
        <row r="78">
          <cell r="B78" t="str">
            <v>Handbook of Fixed Income Securities, Fabozzi, Frank J., 8th Edition, 2012 - Ch. 25: Agency Mortgage-Backed Securities</v>
          </cell>
        </row>
        <row r="79">
          <cell r="B79" t="str">
            <v>Handbook of Fixed Income Securities, Fabozzi, Frank J., 8th Edition, 2012 - Ch. 26: Agency Collateralized Mortgage Obligations</v>
          </cell>
        </row>
        <row r="80">
          <cell r="B80" t="str">
            <v>Handbook of Fixed Income Securities, Fabozzi, Frank J., 8th Edition, 2012 - Ch. 62: Interest-Rate Swaps and Swaptions</v>
          </cell>
        </row>
        <row r="81">
          <cell r="B81" t="str">
            <v>Handbook of Fixed Income Securities, Fabozzi, Frank J., 8th Edition, 2012 - Ch. 66: Credit Derivatives (pp. 1541-1559)</v>
          </cell>
        </row>
        <row r="82">
          <cell r="B82" t="str">
            <v>LPM-161-19: High-Yield Bond Market Primer</v>
          </cell>
        </row>
        <row r="83">
          <cell r="B83" t="str">
            <v>LPM-162-19: Liquidity Risk Management: Best Risk Management Practices</v>
          </cell>
        </row>
        <row r="84">
          <cell r="B84" t="str">
            <v>LPM-163-19: Managing your Advisor: A Guide to Getting the Most Out of the Portfolio Management Process</v>
          </cell>
        </row>
        <row r="85">
          <cell r="B85" t="str">
            <v>LPM-164-19: Ch. 7 (sections 7.2-7.5 &amp; 7A) and Ch. 8 (sections 8.3-8.6) of Derivatives Markets, McDonald, 3rd Edition</v>
          </cell>
        </row>
        <row r="86">
          <cell r="B86" t="str">
            <v>LIBOR and SOFR, 2019</v>
          </cell>
        </row>
        <row r="87">
          <cell r="A87" t="str">
            <v>LO#1</v>
          </cell>
          <cell r="B87" t="str">
            <v>Retrieval</v>
          </cell>
        </row>
        <row r="88">
          <cell r="A88" t="str">
            <v>LO#2</v>
          </cell>
          <cell r="B88" t="str">
            <v>Comprehension</v>
          </cell>
        </row>
        <row r="89">
          <cell r="A89" t="str">
            <v>LO#3</v>
          </cell>
          <cell r="B89" t="str">
            <v>Analysis</v>
          </cell>
        </row>
        <row r="90">
          <cell r="A90" t="str">
            <v>LO#4</v>
          </cell>
          <cell r="B90" t="str">
            <v>Knowledge Utilization</v>
          </cell>
        </row>
        <row r="91">
          <cell r="A91" t="str">
            <v>LO#5</v>
          </cell>
        </row>
      </sheetData>
      <sheetData sheetId="2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Exec Instructions"/>
      <sheetName val="Summary"/>
      <sheetName val="Coverage"/>
      <sheetName val="BG-2-2020"/>
      <sheetName val="BG-2-2020 calc"/>
      <sheetName val="BL-2-2021"/>
      <sheetName val="CB-2-2019"/>
      <sheetName val="FF-2-2019"/>
      <sheetName val="JL-1-2020"/>
      <sheetName val="JS-1-2020"/>
      <sheetName val="JS-1-2020 Calc"/>
      <sheetName val="JS-1-20201"/>
      <sheetName val="JS-1-2020 Calc1"/>
      <sheetName val="JW-1-2021"/>
      <sheetName val="JW-1-2021 Calc (b)(i)"/>
      <sheetName val="JW-1-2021 Calc (b)(ii)"/>
      <sheetName val="JW-1-2021 Table"/>
      <sheetName val="JW-2-2021"/>
      <sheetName val="JW-2-2021calc(b)(i)"/>
      <sheetName val="JeW-1-2021"/>
      <sheetName val="JeW-2-2021"/>
      <sheetName val="KG-1-2021"/>
      <sheetName val="KG-2-2021"/>
      <sheetName val="MC-1-2021"/>
      <sheetName val="MC-1-2021 Calc"/>
      <sheetName val="MD-1-2021_old"/>
      <sheetName val="MD-1-2021"/>
      <sheetName val="MD-1-2021 Calc"/>
      <sheetName val="MG-1-2019"/>
      <sheetName val="RF-1-2021"/>
      <sheetName val="RHa-1-2019"/>
      <sheetName val="RHa-1-2019 Calc"/>
      <sheetName val="SC-1-2021"/>
      <sheetName val="SM-1-2021"/>
      <sheetName val="SM-1-2021 Calc"/>
      <sheetName val="WD-1-2021"/>
      <sheetName val="WD-1-2021 Calc"/>
      <sheetName val="&lt;- Rubrics"/>
      <sheetName val="Rubric Template"/>
      <sheetName val="syllabus list"/>
      <sheetName val="LO"/>
      <sheetName val="BANKED---&gt;"/>
      <sheetName val="BL-1-2021"/>
      <sheetName val="CKB-1-2021"/>
      <sheetName val="KW-1-2019"/>
    </sheetNames>
    <sheetDataSet>
      <sheetData sheetId="0">
        <row r="2">
          <cell r="E2">
            <v>2021</v>
          </cell>
        </row>
      </sheetData>
      <sheetData sheetId="1"/>
      <sheetData sheetId="2"/>
      <sheetData sheetId="3"/>
      <sheetData sheetId="4"/>
      <sheetData sheetId="5">
        <row r="13">
          <cell r="K13">
            <v>7.0000000000000007E-2</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9">
          <cell r="C9" t="e">
            <v>#N/A</v>
          </cell>
        </row>
      </sheetData>
      <sheetData sheetId="40">
        <row r="4">
          <cell r="B4" t="str">
            <v>LPM-107-07: Experience Assumptions for Individual Life Insurance and Annuities</v>
          </cell>
        </row>
      </sheetData>
      <sheetData sheetId="41"/>
      <sheetData sheetId="42"/>
      <sheetData sheetId="43"/>
      <sheetData sheetId="44"/>
      <sheetData sheetId="4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
      <sheetName val="S1"/>
      <sheetName val="Q1.1"/>
      <sheetName val="A1.1"/>
      <sheetName val="Q1.2"/>
      <sheetName val="A1.2"/>
      <sheetName val="S2"/>
      <sheetName val="Q2.1"/>
      <sheetName val="A2.1"/>
      <sheetName val="Q2.2"/>
      <sheetName val="A2.2"/>
      <sheetName val="S3"/>
      <sheetName val="Q3.1"/>
      <sheetName val="A3.1"/>
      <sheetName val="S4"/>
      <sheetName val="Q4.1"/>
      <sheetName val="A4.1"/>
      <sheetName val="S5"/>
      <sheetName val="Q5.1"/>
      <sheetName val="A5.1"/>
      <sheetName val="Q5.2"/>
      <sheetName val="A5.2"/>
      <sheetName val="S6"/>
      <sheetName val="Q6.1"/>
      <sheetName val="A6.1"/>
      <sheetName val="S7"/>
      <sheetName val="Q7.1"/>
      <sheetName val="A7.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0BF0E-B191-4166-8E06-D7628A728AC1}">
  <sheetPr>
    <tabColor rgb="FF0070C0"/>
    <pageSetUpPr autoPageBreaks="0"/>
  </sheetPr>
  <dimension ref="A6:K21"/>
  <sheetViews>
    <sheetView showGridLines="0" tabSelected="1" zoomScale="115" zoomScaleNormal="115" workbookViewId="0"/>
  </sheetViews>
  <sheetFormatPr defaultRowHeight="14.4"/>
  <cols>
    <col min="1" max="16384" width="8.88671875" style="282"/>
  </cols>
  <sheetData>
    <row r="6" spans="1:10" ht="33.6">
      <c r="A6" s="281" t="s">
        <v>335</v>
      </c>
      <c r="B6" s="281"/>
      <c r="C6" s="281"/>
      <c r="D6" s="281"/>
      <c r="E6" s="281"/>
      <c r="F6" s="281"/>
      <c r="G6" s="281"/>
      <c r="H6" s="281"/>
      <c r="I6" s="281"/>
      <c r="J6" s="281"/>
    </row>
    <row r="7" spans="1:10" ht="6" customHeight="1">
      <c r="A7" s="283"/>
      <c r="B7" s="283"/>
      <c r="C7" s="283"/>
      <c r="D7" s="283"/>
      <c r="E7" s="283"/>
      <c r="F7" s="283"/>
      <c r="G7" s="283"/>
      <c r="H7" s="283"/>
      <c r="I7" s="283"/>
      <c r="J7" s="283"/>
    </row>
    <row r="8" spans="1:10" ht="21">
      <c r="A8" s="284" t="s">
        <v>345</v>
      </c>
      <c r="B8" s="284"/>
      <c r="C8" s="284"/>
      <c r="D8" s="284"/>
      <c r="E8" s="284"/>
      <c r="F8" s="284"/>
      <c r="G8" s="284"/>
      <c r="H8" s="284"/>
      <c r="I8" s="284"/>
      <c r="J8" s="284"/>
    </row>
    <row r="10" spans="1:10" ht="75" customHeight="1">
      <c r="A10" s="285" t="s">
        <v>336</v>
      </c>
      <c r="B10" s="286" t="s">
        <v>337</v>
      </c>
      <c r="C10" s="286"/>
      <c r="D10" s="286"/>
      <c r="E10" s="286"/>
      <c r="F10" s="286"/>
      <c r="G10" s="286"/>
      <c r="H10" s="286"/>
      <c r="I10" s="286"/>
      <c r="J10" s="286"/>
    </row>
    <row r="11" spans="1:10">
      <c r="B11" s="287"/>
      <c r="C11" s="287"/>
      <c r="D11" s="287"/>
      <c r="E11" s="287"/>
      <c r="F11" s="287"/>
      <c r="G11" s="287"/>
      <c r="H11" s="287"/>
      <c r="I11" s="287"/>
      <c r="J11" s="287"/>
    </row>
    <row r="12" spans="1:10" ht="45" customHeight="1">
      <c r="A12" s="285" t="s">
        <v>336</v>
      </c>
      <c r="B12" s="286" t="s">
        <v>338</v>
      </c>
      <c r="C12" s="286"/>
      <c r="D12" s="286"/>
      <c r="E12" s="286"/>
      <c r="F12" s="286"/>
      <c r="G12" s="286"/>
      <c r="H12" s="286"/>
      <c r="I12" s="286"/>
      <c r="J12" s="286"/>
    </row>
    <row r="13" spans="1:10">
      <c r="B13" s="287"/>
      <c r="C13" s="287"/>
      <c r="D13" s="287"/>
      <c r="E13" s="287"/>
      <c r="F13" s="287"/>
      <c r="G13" s="287"/>
      <c r="H13" s="287"/>
      <c r="I13" s="287"/>
      <c r="J13" s="287"/>
    </row>
    <row r="14" spans="1:10" ht="45.6" customHeight="1">
      <c r="A14" s="285" t="s">
        <v>336</v>
      </c>
      <c r="B14" s="286" t="s">
        <v>339</v>
      </c>
      <c r="C14" s="286"/>
      <c r="D14" s="286"/>
      <c r="E14" s="286"/>
      <c r="F14" s="286"/>
      <c r="G14" s="286"/>
      <c r="H14" s="286"/>
      <c r="I14" s="286"/>
      <c r="J14" s="286"/>
    </row>
    <row r="15" spans="1:10">
      <c r="B15" s="287"/>
      <c r="C15" s="287"/>
      <c r="D15" s="287"/>
      <c r="E15" s="287"/>
      <c r="F15" s="287"/>
      <c r="G15" s="287"/>
      <c r="H15" s="287"/>
      <c r="I15" s="287"/>
      <c r="J15" s="287"/>
    </row>
    <row r="16" spans="1:10" ht="72.599999999999994" customHeight="1">
      <c r="A16" s="285" t="s">
        <v>336</v>
      </c>
      <c r="B16" s="286" t="s">
        <v>340</v>
      </c>
      <c r="C16" s="286"/>
      <c r="D16" s="286"/>
      <c r="E16" s="286"/>
      <c r="F16" s="286"/>
      <c r="G16" s="286"/>
      <c r="H16" s="286"/>
      <c r="I16" s="286"/>
      <c r="J16" s="286"/>
    </row>
    <row r="17" spans="1:11">
      <c r="B17" s="287"/>
      <c r="C17" s="287"/>
      <c r="D17" s="287"/>
      <c r="E17" s="287"/>
      <c r="F17" s="287"/>
      <c r="G17" s="287"/>
      <c r="H17" s="287"/>
      <c r="I17" s="287"/>
      <c r="J17" s="287"/>
      <c r="K17" s="288"/>
    </row>
    <row r="18" spans="1:11" ht="44.4" customHeight="1">
      <c r="A18" s="285" t="s">
        <v>336</v>
      </c>
      <c r="B18" s="286" t="s">
        <v>341</v>
      </c>
      <c r="C18" s="286"/>
      <c r="D18" s="286"/>
      <c r="E18" s="286"/>
      <c r="F18" s="286"/>
      <c r="G18" s="286"/>
      <c r="H18" s="286"/>
      <c r="I18" s="286"/>
      <c r="J18" s="286"/>
    </row>
    <row r="21" spans="1:11">
      <c r="B21" s="289" t="s">
        <v>342</v>
      </c>
      <c r="C21" s="289"/>
      <c r="D21" s="290" t="s">
        <v>343</v>
      </c>
      <c r="E21" s="290"/>
      <c r="F21" s="290"/>
      <c r="G21" s="290"/>
      <c r="H21" s="291" t="s">
        <v>344</v>
      </c>
      <c r="I21" s="291"/>
      <c r="J21" s="291"/>
    </row>
  </sheetData>
  <mergeCells count="10">
    <mergeCell ref="B18:J18"/>
    <mergeCell ref="B21:C21"/>
    <mergeCell ref="D21:G21"/>
    <mergeCell ref="H21:J21"/>
    <mergeCell ref="A6:J6"/>
    <mergeCell ref="A8:J8"/>
    <mergeCell ref="B10:J10"/>
    <mergeCell ref="B12:J12"/>
    <mergeCell ref="B14:J14"/>
    <mergeCell ref="B16:J16"/>
  </mergeCell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686A3-61C5-4391-ACC1-F5A0134192E3}">
  <dimension ref="A1:J48"/>
  <sheetViews>
    <sheetView workbookViewId="0"/>
  </sheetViews>
  <sheetFormatPr defaultColWidth="8.77734375" defaultRowHeight="14.4"/>
  <cols>
    <col min="1" max="1" width="13.21875" style="127" customWidth="1"/>
    <col min="2" max="2" width="49.21875" style="127" customWidth="1"/>
    <col min="3" max="4" width="15.77734375" style="127" customWidth="1"/>
    <col min="5" max="5" width="8.77734375" style="127"/>
    <col min="6" max="6" width="28.21875" style="127" bestFit="1" customWidth="1"/>
    <col min="7" max="16384" width="8.77734375" style="127"/>
  </cols>
  <sheetData>
    <row r="1" spans="1:10" s="133" customFormat="1" ht="17.399999999999999">
      <c r="A1" s="147" t="s">
        <v>196</v>
      </c>
    </row>
    <row r="2" spans="1:10" s="133" customFormat="1" ht="15.6">
      <c r="A2" s="146" t="s">
        <v>195</v>
      </c>
    </row>
    <row r="3" spans="1:10" s="133" customFormat="1" ht="15.6">
      <c r="A3" s="146" t="s">
        <v>194</v>
      </c>
      <c r="B3" s="134"/>
      <c r="C3" s="134"/>
      <c r="D3" s="134"/>
      <c r="E3" s="134"/>
      <c r="F3" s="134"/>
      <c r="G3" s="134"/>
      <c r="H3" s="134"/>
      <c r="I3" s="134"/>
      <c r="J3" s="134"/>
    </row>
    <row r="4" spans="1:10" s="133" customFormat="1" ht="15.6">
      <c r="A4" s="135"/>
    </row>
    <row r="5" spans="1:10" s="133" customFormat="1" ht="15.6">
      <c r="A5" s="135" t="s">
        <v>193</v>
      </c>
      <c r="B5" s="136"/>
      <c r="C5" s="136"/>
      <c r="D5" s="136"/>
      <c r="E5" s="136"/>
    </row>
    <row r="6" spans="1:10" s="133" customFormat="1" ht="15.6">
      <c r="A6" s="135" t="s">
        <v>192</v>
      </c>
      <c r="B6" s="136"/>
      <c r="C6" s="136"/>
      <c r="D6" s="136"/>
      <c r="E6" s="136"/>
    </row>
    <row r="7" spans="1:10" s="133" customFormat="1" ht="15.6">
      <c r="A7" s="135" t="s">
        <v>191</v>
      </c>
      <c r="B7" s="136"/>
      <c r="C7" s="136"/>
      <c r="D7" s="136"/>
      <c r="E7" s="136"/>
    </row>
    <row r="8" spans="1:10" s="133" customFormat="1" ht="15.6">
      <c r="A8" s="135" t="s">
        <v>190</v>
      </c>
      <c r="B8" s="136"/>
      <c r="C8" s="136"/>
      <c r="D8" s="136"/>
      <c r="E8" s="136"/>
    </row>
    <row r="9" spans="1:10" s="133" customFormat="1" ht="15.6">
      <c r="A9" s="135" t="s">
        <v>189</v>
      </c>
      <c r="B9" s="136"/>
      <c r="C9" s="136"/>
      <c r="D9" s="136"/>
      <c r="E9" s="136"/>
    </row>
    <row r="10" spans="1:10" s="133" customFormat="1" ht="15.6">
      <c r="A10" s="135" t="s">
        <v>188</v>
      </c>
      <c r="B10" s="136"/>
      <c r="C10" s="136"/>
      <c r="D10" s="136"/>
      <c r="E10" s="136"/>
    </row>
    <row r="11" spans="1:10" s="133" customFormat="1" ht="15.6">
      <c r="A11" s="135" t="s">
        <v>187</v>
      </c>
      <c r="B11" s="136"/>
      <c r="C11" s="136"/>
      <c r="D11" s="136"/>
      <c r="E11" s="136"/>
    </row>
    <row r="12" spans="1:10" s="133" customFormat="1" ht="15" thickBot="1">
      <c r="A12" s="136"/>
      <c r="B12" s="136"/>
      <c r="C12" s="136"/>
      <c r="D12" s="136"/>
      <c r="E12" s="136"/>
    </row>
    <row r="13" spans="1:10" s="133" customFormat="1" ht="16.2" thickBot="1">
      <c r="A13" s="136"/>
      <c r="B13" s="145" t="s">
        <v>186</v>
      </c>
      <c r="C13" s="144">
        <v>100000</v>
      </c>
      <c r="D13" s="136"/>
      <c r="E13" s="136"/>
    </row>
    <row r="14" spans="1:10" s="133" customFormat="1" ht="19.2" thickBot="1">
      <c r="A14" s="136"/>
      <c r="B14" s="143" t="s">
        <v>185</v>
      </c>
      <c r="C14" s="142">
        <v>5.0000000000000001E-3</v>
      </c>
      <c r="D14" s="136"/>
      <c r="E14" s="136"/>
    </row>
    <row r="15" spans="1:10" s="133" customFormat="1" ht="19.2" thickBot="1">
      <c r="A15" s="136"/>
      <c r="B15" s="143" t="s">
        <v>184</v>
      </c>
      <c r="C15" s="142">
        <v>1.2E-2</v>
      </c>
      <c r="D15" s="136"/>
      <c r="E15" s="136"/>
    </row>
    <row r="16" spans="1:10" s="133" customFormat="1" ht="18.600000000000001" thickBot="1">
      <c r="A16" s="136"/>
      <c r="B16" s="143" t="s">
        <v>183</v>
      </c>
      <c r="C16" s="142">
        <v>0.05</v>
      </c>
      <c r="D16" s="136"/>
      <c r="E16" s="136"/>
    </row>
    <row r="17" spans="1:5" s="133" customFormat="1" ht="15.6">
      <c r="A17" s="136"/>
      <c r="B17" s="141"/>
      <c r="C17" s="141"/>
      <c r="D17" s="136"/>
      <c r="E17" s="136"/>
    </row>
    <row r="18" spans="1:5" s="133" customFormat="1">
      <c r="A18" s="136" t="s">
        <v>182</v>
      </c>
      <c r="B18" s="136"/>
      <c r="C18" s="136"/>
      <c r="D18" s="136"/>
      <c r="E18" s="136"/>
    </row>
    <row r="19" spans="1:5" s="133" customFormat="1">
      <c r="A19" s="136" t="s">
        <v>181</v>
      </c>
      <c r="B19" s="136"/>
      <c r="C19" s="136"/>
      <c r="D19" s="136"/>
      <c r="E19" s="136"/>
    </row>
    <row r="20" spans="1:5" s="133" customFormat="1">
      <c r="A20" s="136" t="s">
        <v>180</v>
      </c>
      <c r="B20" s="136"/>
      <c r="C20" s="136"/>
      <c r="D20" s="136"/>
      <c r="E20" s="136"/>
    </row>
    <row r="21" spans="1:5" s="133" customFormat="1" ht="15" thickBot="1">
      <c r="A21" s="136"/>
      <c r="B21" s="136"/>
      <c r="C21" s="136"/>
      <c r="D21" s="136"/>
      <c r="E21" s="136"/>
    </row>
    <row r="22" spans="1:5" s="133" customFormat="1" ht="16.2" thickBot="1">
      <c r="A22" s="136"/>
      <c r="B22" s="140" t="s">
        <v>56</v>
      </c>
      <c r="C22" s="139" t="s">
        <v>176</v>
      </c>
      <c r="D22" s="139" t="s">
        <v>175</v>
      </c>
      <c r="E22" s="136"/>
    </row>
    <row r="23" spans="1:5" s="133" customFormat="1" ht="16.2" thickBot="1">
      <c r="A23" s="136"/>
      <c r="B23" s="138">
        <v>1</v>
      </c>
      <c r="C23" s="137">
        <v>0</v>
      </c>
      <c r="D23" s="137">
        <v>0.06</v>
      </c>
      <c r="E23" s="136"/>
    </row>
    <row r="24" spans="1:5" s="133" customFormat="1" ht="16.2" thickBot="1">
      <c r="A24" s="136"/>
      <c r="B24" s="138">
        <v>2</v>
      </c>
      <c r="C24" s="137">
        <v>-0.03</v>
      </c>
      <c r="D24" s="137">
        <v>0.09</v>
      </c>
      <c r="E24" s="136"/>
    </row>
    <row r="25" spans="1:5" s="133" customFormat="1" ht="16.2" thickBot="1">
      <c r="A25" s="136"/>
      <c r="B25" s="138">
        <v>3</v>
      </c>
      <c r="C25" s="137">
        <v>0.06</v>
      </c>
      <c r="D25" s="137">
        <v>-0.05</v>
      </c>
      <c r="E25" s="136"/>
    </row>
    <row r="26" spans="1:5" s="133" customFormat="1" ht="16.2" thickBot="1">
      <c r="A26" s="136"/>
      <c r="B26" s="138">
        <v>4</v>
      </c>
      <c r="C26" s="137">
        <v>0.09</v>
      </c>
      <c r="D26" s="137">
        <v>0</v>
      </c>
      <c r="E26" s="136"/>
    </row>
    <row r="27" spans="1:5" s="133" customFormat="1" ht="16.2" thickBot="1">
      <c r="A27" s="136"/>
      <c r="B27" s="138">
        <v>5</v>
      </c>
      <c r="C27" s="137">
        <v>-0.05</v>
      </c>
      <c r="D27" s="137">
        <v>-0.03</v>
      </c>
      <c r="E27" s="136"/>
    </row>
    <row r="28" spans="1:5" s="133" customFormat="1">
      <c r="A28" s="136"/>
      <c r="B28" s="136"/>
      <c r="C28" s="136"/>
      <c r="D28" s="136"/>
      <c r="E28" s="136"/>
    </row>
    <row r="29" spans="1:5" s="133" customFormat="1" ht="15.6">
      <c r="A29" s="135" t="s">
        <v>179</v>
      </c>
    </row>
    <row r="30" spans="1:5" s="133" customFormat="1">
      <c r="A30" s="133" t="s">
        <v>178</v>
      </c>
      <c r="B30" s="134" t="s">
        <v>177</v>
      </c>
    </row>
    <row r="32" spans="1:5" ht="15.6">
      <c r="B32" s="132" t="s">
        <v>176</v>
      </c>
    </row>
    <row r="33" spans="2:6" ht="15.6">
      <c r="B33" s="132"/>
    </row>
    <row r="34" spans="2:6" ht="15" thickBot="1">
      <c r="E34" s="131" t="s">
        <v>56</v>
      </c>
      <c r="F34" s="130" t="s">
        <v>174</v>
      </c>
    </row>
    <row r="35" spans="2:6" ht="16.2" thickBot="1">
      <c r="E35" s="129">
        <v>1</v>
      </c>
      <c r="F35" s="128"/>
    </row>
    <row r="36" spans="2:6" ht="16.2" thickBot="1">
      <c r="E36" s="129">
        <v>2</v>
      </c>
      <c r="F36" s="128"/>
    </row>
    <row r="37" spans="2:6" ht="16.2" thickBot="1">
      <c r="E37" s="129">
        <v>3</v>
      </c>
      <c r="F37" s="128"/>
    </row>
    <row r="38" spans="2:6" ht="16.2" thickBot="1">
      <c r="E38" s="129">
        <v>4</v>
      </c>
      <c r="F38" s="128"/>
    </row>
    <row r="39" spans="2:6" ht="16.2" thickBot="1">
      <c r="E39" s="129">
        <v>5</v>
      </c>
      <c r="F39" s="128"/>
    </row>
    <row r="40" spans="2:6">
      <c r="E40" s="131"/>
    </row>
    <row r="41" spans="2:6" ht="15.6">
      <c r="B41" s="132" t="s">
        <v>175</v>
      </c>
      <c r="E41" s="131"/>
    </row>
    <row r="42" spans="2:6" ht="15.6">
      <c r="B42" s="132"/>
      <c r="E42" s="131"/>
    </row>
    <row r="43" spans="2:6" ht="15" thickBot="1">
      <c r="E43" s="131" t="s">
        <v>56</v>
      </c>
      <c r="F43" s="130" t="s">
        <v>174</v>
      </c>
    </row>
    <row r="44" spans="2:6" ht="16.2" thickBot="1">
      <c r="E44" s="129">
        <v>1</v>
      </c>
      <c r="F44" s="128"/>
    </row>
    <row r="45" spans="2:6" ht="16.2" thickBot="1">
      <c r="E45" s="129">
        <v>2</v>
      </c>
      <c r="F45" s="128"/>
    </row>
    <row r="46" spans="2:6" ht="16.2" thickBot="1">
      <c r="E46" s="129">
        <v>3</v>
      </c>
      <c r="F46" s="128"/>
    </row>
    <row r="47" spans="2:6" ht="16.2" thickBot="1">
      <c r="E47" s="129">
        <v>4</v>
      </c>
      <c r="F47" s="128"/>
    </row>
    <row r="48" spans="2:6" ht="16.2" thickBot="1">
      <c r="E48" s="129">
        <v>5</v>
      </c>
      <c r="F48" s="128"/>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F3164-24DB-4494-80D6-53D47AD83C7F}">
  <dimension ref="B1:F48"/>
  <sheetViews>
    <sheetView topLeftCell="A24" zoomScale="145" zoomScaleNormal="145" workbookViewId="0">
      <selection activeCell="D14" sqref="D14"/>
    </sheetView>
  </sheetViews>
  <sheetFormatPr defaultColWidth="8.77734375" defaultRowHeight="13.2"/>
  <cols>
    <col min="1" max="1" width="8.77734375" style="71"/>
    <col min="2" max="2" width="34" style="71" bestFit="1" customWidth="1"/>
    <col min="3" max="3" width="15" style="71" bestFit="1" customWidth="1"/>
    <col min="4" max="4" width="15.21875" style="71" customWidth="1"/>
    <col min="5" max="5" width="12.21875" style="71" bestFit="1" customWidth="1"/>
    <col min="6" max="6" width="12.77734375" style="71" customWidth="1"/>
    <col min="7" max="16384" width="8.77734375" style="71"/>
  </cols>
  <sheetData>
    <row r="1" spans="2:4" ht="16.2" thickBot="1">
      <c r="B1" s="154" t="s">
        <v>186</v>
      </c>
      <c r="C1" s="155">
        <v>100000</v>
      </c>
    </row>
    <row r="2" spans="2:4" ht="19.2" thickBot="1">
      <c r="B2" s="154" t="s">
        <v>209</v>
      </c>
      <c r="C2" s="153">
        <v>5.0000000000000001E-3</v>
      </c>
    </row>
    <row r="3" spans="2:4" ht="19.2" thickBot="1">
      <c r="B3" s="152" t="s">
        <v>208</v>
      </c>
      <c r="C3" s="150">
        <v>1.2E-2</v>
      </c>
    </row>
    <row r="4" spans="2:4" ht="18.600000000000001" thickBot="1">
      <c r="B4" s="152" t="s">
        <v>207</v>
      </c>
      <c r="C4" s="150">
        <v>0.05</v>
      </c>
    </row>
    <row r="6" spans="2:4" ht="13.8" thickBot="1"/>
    <row r="7" spans="2:4" ht="16.2" thickBot="1">
      <c r="B7" s="72" t="s">
        <v>56</v>
      </c>
      <c r="C7" s="151" t="s">
        <v>176</v>
      </c>
      <c r="D7" s="151" t="s">
        <v>175</v>
      </c>
    </row>
    <row r="8" spans="2:4" ht="16.2" thickBot="1">
      <c r="B8" s="74">
        <v>1</v>
      </c>
      <c r="C8" s="150">
        <v>0</v>
      </c>
      <c r="D8" s="150">
        <v>0.06</v>
      </c>
    </row>
    <row r="9" spans="2:4" ht="16.2" thickBot="1">
      <c r="B9" s="74">
        <v>2</v>
      </c>
      <c r="C9" s="150">
        <v>-0.03</v>
      </c>
      <c r="D9" s="150">
        <v>0.09</v>
      </c>
    </row>
    <row r="10" spans="2:4" ht="16.2" thickBot="1">
      <c r="B10" s="74">
        <v>3</v>
      </c>
      <c r="C10" s="150">
        <v>0.06</v>
      </c>
      <c r="D10" s="150">
        <v>-0.05</v>
      </c>
    </row>
    <row r="11" spans="2:4" ht="16.2" thickBot="1">
      <c r="B11" s="74">
        <v>4</v>
      </c>
      <c r="C11" s="150">
        <v>0.09</v>
      </c>
      <c r="D11" s="150">
        <v>0</v>
      </c>
    </row>
    <row r="12" spans="2:4" ht="16.2" thickBot="1">
      <c r="B12" s="74">
        <v>5</v>
      </c>
      <c r="C12" s="150">
        <v>-0.05</v>
      </c>
      <c r="D12" s="150">
        <v>-0.03</v>
      </c>
    </row>
    <row r="14" spans="2:4">
      <c r="B14" s="71" t="s">
        <v>206</v>
      </c>
    </row>
    <row r="15" spans="2:4">
      <c r="B15" s="71" t="s">
        <v>205</v>
      </c>
    </row>
    <row r="16" spans="2:4">
      <c r="B16" s="71" t="s">
        <v>204</v>
      </c>
    </row>
    <row r="17" spans="2:6">
      <c r="B17" s="71" t="s">
        <v>203</v>
      </c>
    </row>
    <row r="18" spans="2:6">
      <c r="C18" s="71" t="s">
        <v>202</v>
      </c>
    </row>
    <row r="19" spans="2:6">
      <c r="B19" s="71" t="s">
        <v>56</v>
      </c>
      <c r="C19" s="71" t="s">
        <v>200</v>
      </c>
      <c r="D19" s="71" t="s">
        <v>199</v>
      </c>
      <c r="E19" s="71" t="s">
        <v>198</v>
      </c>
      <c r="F19" s="71" t="s">
        <v>197</v>
      </c>
    </row>
    <row r="20" spans="2:6">
      <c r="B20" s="71">
        <v>1</v>
      </c>
      <c r="C20" s="149">
        <f>prem*(1+C8)*EXP(-adm_charge-guar_charge)</f>
        <v>98314.368463490959</v>
      </c>
      <c r="D20" s="149">
        <f>MAX(prem,C20)</f>
        <v>100000</v>
      </c>
      <c r="E20" s="149">
        <f>D20*wd_pct</f>
        <v>5000</v>
      </c>
      <c r="F20" s="148">
        <f>C20-E20</f>
        <v>93314.368463490959</v>
      </c>
    </row>
    <row r="21" spans="2:6">
      <c r="B21" s="71">
        <v>2</v>
      </c>
      <c r="C21" s="149">
        <f>F20*(1+C9)*EXP(-adm_charge-guar_charge)</f>
        <v>88989.189079358825</v>
      </c>
      <c r="D21" s="149">
        <f>MAX(D20,C21)</f>
        <v>100000</v>
      </c>
      <c r="E21" s="149">
        <f>D21*wd_pct</f>
        <v>5000</v>
      </c>
      <c r="F21" s="148">
        <f>C21-E21</f>
        <v>83989.189079358825</v>
      </c>
    </row>
    <row r="22" spans="2:6">
      <c r="B22" s="71">
        <v>3</v>
      </c>
      <c r="C22" s="149">
        <f>F21*(1+C10)*EXP(-adm_charge-guar_charge)</f>
        <v>87527.847270237704</v>
      </c>
      <c r="D22" s="149">
        <f>MAX(D21,C22)</f>
        <v>100000</v>
      </c>
      <c r="E22" s="149">
        <f>D22*wd_pct</f>
        <v>5000</v>
      </c>
      <c r="F22" s="148">
        <f>C22-E22</f>
        <v>82527.847270237704</v>
      </c>
    </row>
    <row r="23" spans="2:6">
      <c r="B23" s="71">
        <v>4</v>
      </c>
      <c r="C23" s="149">
        <f>F22*(1+C11)*EXP(-adm_charge-guar_charge)</f>
        <v>88439.037716770938</v>
      </c>
      <c r="D23" s="149">
        <f>MAX(D22,C23)</f>
        <v>100000</v>
      </c>
      <c r="E23" s="149">
        <f>D23*wd_pct</f>
        <v>5000</v>
      </c>
      <c r="F23" s="148">
        <f>C23-E23</f>
        <v>83439.037716770938</v>
      </c>
    </row>
    <row r="24" spans="2:6">
      <c r="B24" s="71">
        <v>5</v>
      </c>
      <c r="C24" s="149">
        <f>F23*(1+C12)*EXP(-adm_charge-guar_charge)</f>
        <v>77930.9348340945</v>
      </c>
      <c r="D24" s="149">
        <f>MAX(D23,C24)</f>
        <v>100000</v>
      </c>
      <c r="E24" s="149">
        <f>D24*wd_pct</f>
        <v>5000</v>
      </c>
      <c r="F24" s="148">
        <f>C24-E24</f>
        <v>72930.9348340945</v>
      </c>
    </row>
    <row r="26" spans="2:6">
      <c r="C26" s="71" t="s">
        <v>201</v>
      </c>
    </row>
    <row r="27" spans="2:6">
      <c r="B27" s="71" t="s">
        <v>56</v>
      </c>
      <c r="C27" s="71" t="s">
        <v>200</v>
      </c>
      <c r="D27" s="71" t="s">
        <v>199</v>
      </c>
      <c r="E27" s="71" t="s">
        <v>198</v>
      </c>
      <c r="F27" s="71" t="s">
        <v>197</v>
      </c>
    </row>
    <row r="28" spans="2:6">
      <c r="B28" s="71">
        <v>1</v>
      </c>
      <c r="C28" s="149">
        <f>prem*(1+D8)*EXP(-adm_charge-guar_charge)</f>
        <v>104213.23057130042</v>
      </c>
      <c r="D28" s="149">
        <f>MAX(prem,C28)</f>
        <v>104213.23057130042</v>
      </c>
      <c r="E28" s="149">
        <f>D28*wd_pct</f>
        <v>5210.6615285650214</v>
      </c>
      <c r="F28" s="148">
        <f>C28-E28</f>
        <v>99002.569042735398</v>
      </c>
    </row>
    <row r="29" spans="2:6">
      <c r="B29" s="71">
        <v>2</v>
      </c>
      <c r="C29" s="149">
        <f>F28*(1+D9)*EXP(-adm_charge-guar_charge)</f>
        <v>106093.78806352665</v>
      </c>
      <c r="D29" s="149">
        <f>MAX(D28,C29)</f>
        <v>106093.78806352665</v>
      </c>
      <c r="E29" s="149">
        <f>D29*wd_pct</f>
        <v>5304.6894031763331</v>
      </c>
      <c r="F29" s="148">
        <f>C29-E29</f>
        <v>100789.09866035031</v>
      </c>
    </row>
    <row r="30" spans="2:6">
      <c r="B30" s="71">
        <v>3</v>
      </c>
      <c r="C30" s="149">
        <f>F29*(1+D10)*EXP(-adm_charge-guar_charge)</f>
        <v>94135.657536569823</v>
      </c>
      <c r="D30" s="149">
        <f>MAX(D29,C30)</f>
        <v>106093.78806352665</v>
      </c>
      <c r="E30" s="149">
        <f>D30*wd_pct</f>
        <v>5304.6894031763331</v>
      </c>
      <c r="F30" s="148">
        <f>C30-E30</f>
        <v>88830.968133393486</v>
      </c>
    </row>
    <row r="31" spans="2:6">
      <c r="B31" s="71">
        <v>4</v>
      </c>
      <c r="C31" s="149">
        <f>F30*(1+D11)*EXP(-adm_charge-guar_charge)</f>
        <v>87333.605320350718</v>
      </c>
      <c r="D31" s="149">
        <f>MAX(D30,C31)</f>
        <v>106093.78806352665</v>
      </c>
      <c r="E31" s="149">
        <f>D31*wd_pct</f>
        <v>5304.6894031763331</v>
      </c>
      <c r="F31" s="148">
        <f>C31-E31</f>
        <v>82028.915917174381</v>
      </c>
    </row>
    <row r="32" spans="2:6">
      <c r="B32" s="71">
        <v>5</v>
      </c>
      <c r="C32" s="149">
        <f>F31*(1+D12)*EXP(-adm_charge-guar_charge)</f>
        <v>78226.824322175467</v>
      </c>
      <c r="D32" s="149">
        <f>MAX(D31,C32)</f>
        <v>106093.78806352665</v>
      </c>
      <c r="E32" s="149">
        <f>D32*wd_pct</f>
        <v>5304.6894031763331</v>
      </c>
      <c r="F32" s="148">
        <f>C32-E32</f>
        <v>72922.134918999131</v>
      </c>
    </row>
    <row r="36" spans="3:6">
      <c r="C36" s="149"/>
      <c r="D36" s="149"/>
      <c r="E36" s="149"/>
      <c r="F36" s="148"/>
    </row>
    <row r="37" spans="3:6">
      <c r="C37" s="149"/>
      <c r="D37" s="149"/>
      <c r="E37" s="149"/>
      <c r="F37" s="148"/>
    </row>
    <row r="38" spans="3:6">
      <c r="C38" s="149"/>
      <c r="D38" s="149"/>
      <c r="E38" s="149"/>
      <c r="F38" s="148"/>
    </row>
    <row r="39" spans="3:6">
      <c r="C39" s="149"/>
      <c r="D39" s="149"/>
      <c r="E39" s="149"/>
      <c r="F39" s="148"/>
    </row>
    <row r="40" spans="3:6">
      <c r="C40" s="149"/>
      <c r="D40" s="149"/>
      <c r="E40" s="149"/>
      <c r="F40" s="148"/>
    </row>
    <row r="44" spans="3:6">
      <c r="C44" s="149"/>
      <c r="D44" s="149"/>
      <c r="E44" s="149"/>
      <c r="F44" s="148"/>
    </row>
    <row r="45" spans="3:6">
      <c r="C45" s="149"/>
      <c r="D45" s="149"/>
      <c r="E45" s="149"/>
      <c r="F45" s="148"/>
    </row>
    <row r="46" spans="3:6">
      <c r="C46" s="149"/>
      <c r="D46" s="149"/>
      <c r="E46" s="149"/>
      <c r="F46" s="148"/>
    </row>
    <row r="47" spans="3:6">
      <c r="C47" s="149"/>
      <c r="D47" s="149"/>
      <c r="E47" s="149"/>
      <c r="F47" s="148"/>
    </row>
    <row r="48" spans="3:6">
      <c r="C48" s="149"/>
      <c r="D48" s="149"/>
      <c r="E48" s="149"/>
      <c r="F48" s="148"/>
    </row>
  </sheetData>
  <pageMargins left="0.7" right="0.7" top="0.75" bottom="0.75" header="0.3" footer="0.3"/>
  <pageSetup paperSize="9" orientation="portrait" verticalDpi="0"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594DC-4487-43B3-8DE9-3CC1AC53CE68}">
  <dimension ref="A1:G48"/>
  <sheetViews>
    <sheetView topLeftCell="A3" workbookViewId="0"/>
  </sheetViews>
  <sheetFormatPr defaultColWidth="8.77734375" defaultRowHeight="14.4"/>
  <cols>
    <col min="1" max="1" width="13.21875" style="127" customWidth="1"/>
    <col min="2" max="2" width="31.5546875" style="127" customWidth="1"/>
    <col min="3" max="6" width="24.5546875" style="127" customWidth="1"/>
    <col min="7" max="16384" width="8.77734375" style="127"/>
  </cols>
  <sheetData>
    <row r="1" spans="1:7" ht="17.399999999999999">
      <c r="A1" s="176" t="s">
        <v>228</v>
      </c>
      <c r="B1" s="177"/>
      <c r="C1" s="177"/>
      <c r="D1" s="177"/>
      <c r="E1" s="177"/>
      <c r="F1" s="177"/>
      <c r="G1" s="177"/>
    </row>
    <row r="2" spans="1:7" ht="15.6">
      <c r="A2" s="178"/>
      <c r="B2" s="177"/>
      <c r="C2" s="177"/>
      <c r="D2" s="177"/>
      <c r="E2" s="177"/>
      <c r="F2" s="177"/>
      <c r="G2" s="177"/>
    </row>
    <row r="3" spans="1:7" s="182" customFormat="1" ht="15.6">
      <c r="A3" s="179" t="s">
        <v>229</v>
      </c>
      <c r="B3" s="180"/>
      <c r="C3" s="181"/>
      <c r="D3" s="181"/>
      <c r="E3" s="181"/>
      <c r="F3" s="181"/>
      <c r="G3" s="181"/>
    </row>
    <row r="4" spans="1:7" s="182" customFormat="1" ht="16.2" thickBot="1">
      <c r="A4" s="178"/>
      <c r="B4" s="181"/>
      <c r="C4" s="181"/>
      <c r="D4" s="181"/>
      <c r="E4" s="181"/>
      <c r="F4" s="181"/>
      <c r="G4" s="181"/>
    </row>
    <row r="5" spans="1:7" s="182" customFormat="1" ht="16.2" thickBot="1">
      <c r="A5" s="178"/>
      <c r="B5" s="183" t="s">
        <v>212</v>
      </c>
      <c r="C5" s="184" t="s">
        <v>213</v>
      </c>
      <c r="D5" s="184" t="s">
        <v>214</v>
      </c>
      <c r="E5" s="184" t="s">
        <v>215</v>
      </c>
      <c r="F5" s="184" t="s">
        <v>216</v>
      </c>
      <c r="G5" s="181"/>
    </row>
    <row r="6" spans="1:7" s="182" customFormat="1" ht="18" customHeight="1" thickBot="1">
      <c r="A6" s="178"/>
      <c r="B6" s="185" t="s">
        <v>5</v>
      </c>
      <c r="C6" s="186">
        <v>40</v>
      </c>
      <c r="D6" s="186">
        <v>40</v>
      </c>
      <c r="E6" s="186">
        <v>40</v>
      </c>
      <c r="F6" s="187" t="s">
        <v>230</v>
      </c>
      <c r="G6" s="181"/>
    </row>
    <row r="7" spans="1:7" s="182" customFormat="1" ht="18" customHeight="1" thickBot="1">
      <c r="A7" s="178"/>
      <c r="B7" s="185" t="s">
        <v>30</v>
      </c>
      <c r="C7" s="187" t="s">
        <v>230</v>
      </c>
      <c r="D7" s="186">
        <v>20</v>
      </c>
      <c r="E7" s="186">
        <v>30</v>
      </c>
      <c r="F7" s="186">
        <v>55</v>
      </c>
      <c r="G7" s="181"/>
    </row>
    <row r="8" spans="1:7" s="182" customFormat="1" ht="18" customHeight="1" thickBot="1">
      <c r="A8" s="178"/>
      <c r="B8" s="185" t="s">
        <v>6</v>
      </c>
      <c r="C8" s="188">
        <v>7.5</v>
      </c>
      <c r="D8" s="188">
        <v>2.5</v>
      </c>
      <c r="E8" s="188">
        <v>2.5</v>
      </c>
      <c r="F8" s="188">
        <v>2.5</v>
      </c>
      <c r="G8" s="181"/>
    </row>
    <row r="9" spans="1:7" s="182" customFormat="1" ht="18" customHeight="1" thickBot="1">
      <c r="A9" s="178"/>
      <c r="B9" s="185" t="s">
        <v>231</v>
      </c>
      <c r="C9" s="186">
        <v>15</v>
      </c>
      <c r="D9" s="186">
        <v>10</v>
      </c>
      <c r="E9" s="186">
        <v>8</v>
      </c>
      <c r="F9" s="187" t="s">
        <v>230</v>
      </c>
      <c r="G9" s="181"/>
    </row>
    <row r="10" spans="1:7" s="182" customFormat="1" ht="15.6">
      <c r="A10" s="178"/>
      <c r="B10" s="189"/>
      <c r="C10" s="190"/>
      <c r="D10" s="190"/>
      <c r="E10" s="190"/>
      <c r="F10" s="190"/>
      <c r="G10" s="181"/>
    </row>
    <row r="11" spans="1:7" s="182" customFormat="1" ht="15.6">
      <c r="A11" s="178"/>
      <c r="B11" s="191" t="s">
        <v>232</v>
      </c>
      <c r="C11" s="190"/>
      <c r="D11" s="190"/>
      <c r="E11" s="190"/>
      <c r="F11" s="192"/>
      <c r="G11" s="181"/>
    </row>
    <row r="12" spans="1:7" s="182" customFormat="1" ht="15.6">
      <c r="A12" s="178"/>
      <c r="B12" s="189"/>
      <c r="C12" s="190"/>
      <c r="D12" s="190"/>
      <c r="E12" s="190"/>
      <c r="F12" s="190"/>
      <c r="G12" s="181"/>
    </row>
    <row r="13" spans="1:7" s="182" customFormat="1" ht="15.6">
      <c r="A13" s="178"/>
      <c r="B13" s="193" t="s">
        <v>233</v>
      </c>
      <c r="C13" s="180"/>
      <c r="D13" s="180"/>
      <c r="E13" s="180"/>
      <c r="F13" s="181"/>
      <c r="G13" s="181"/>
    </row>
    <row r="14" spans="1:7" s="182" customFormat="1" ht="15.6">
      <c r="A14" s="180"/>
      <c r="B14" s="193" t="s">
        <v>234</v>
      </c>
      <c r="C14" s="180"/>
      <c r="D14" s="180"/>
      <c r="E14" s="180"/>
      <c r="F14" s="181"/>
      <c r="G14" s="181"/>
    </row>
    <row r="15" spans="1:7" s="182" customFormat="1" ht="15.6">
      <c r="A15" s="180"/>
      <c r="B15" s="193" t="s">
        <v>235</v>
      </c>
      <c r="C15" s="180"/>
      <c r="D15" s="180"/>
      <c r="E15" s="180"/>
      <c r="F15" s="181"/>
      <c r="G15" s="181"/>
    </row>
    <row r="16" spans="1:7" s="182" customFormat="1" ht="15.6">
      <c r="A16" s="180"/>
      <c r="B16" s="193" t="s">
        <v>236</v>
      </c>
      <c r="C16" s="180"/>
      <c r="D16" s="180"/>
      <c r="E16" s="180"/>
      <c r="F16" s="181"/>
      <c r="G16" s="181"/>
    </row>
    <row r="17" spans="1:7" s="182" customFormat="1" ht="15.6">
      <c r="A17" s="180"/>
      <c r="B17" s="180"/>
      <c r="C17" s="180"/>
      <c r="D17" s="180"/>
      <c r="E17" s="180"/>
      <c r="F17" s="181"/>
      <c r="G17" s="181"/>
    </row>
    <row r="18" spans="1:7" s="182" customFormat="1" ht="15.6">
      <c r="A18" s="180"/>
      <c r="B18" s="180"/>
      <c r="C18" s="180"/>
      <c r="D18" s="180"/>
      <c r="E18" s="180"/>
      <c r="F18" s="181"/>
      <c r="G18" s="181"/>
    </row>
    <row r="19" spans="1:7" s="182" customFormat="1" ht="15.6">
      <c r="A19" s="180"/>
      <c r="B19" s="180" t="s">
        <v>237</v>
      </c>
      <c r="C19" s="180"/>
      <c r="D19" s="180"/>
      <c r="E19" s="180"/>
      <c r="F19" s="181"/>
      <c r="G19" s="181"/>
    </row>
    <row r="20" spans="1:7">
      <c r="A20" s="194"/>
      <c r="B20" s="194"/>
      <c r="C20" s="194"/>
      <c r="D20" s="194"/>
      <c r="E20" s="194"/>
      <c r="F20" s="177"/>
      <c r="G20" s="177"/>
    </row>
    <row r="21" spans="1:7" ht="15.6">
      <c r="A21" s="195" t="s">
        <v>52</v>
      </c>
    </row>
    <row r="22" spans="1:7" s="195" customFormat="1" ht="15.6"/>
    <row r="23" spans="1:7" s="195" customFormat="1" ht="15.6">
      <c r="A23" s="195" t="s">
        <v>238</v>
      </c>
      <c r="B23" s="196" t="s">
        <v>177</v>
      </c>
    </row>
    <row r="24" spans="1:7" s="195" customFormat="1" ht="15.6"/>
    <row r="25" spans="1:7" s="195" customFormat="1" ht="15.6"/>
    <row r="26" spans="1:7" s="195" customFormat="1" ht="15.6"/>
    <row r="27" spans="1:7" s="195" customFormat="1" ht="15.6"/>
    <row r="28" spans="1:7" s="195" customFormat="1" ht="15.6"/>
    <row r="29" spans="1:7" s="195" customFormat="1" ht="15.6"/>
    <row r="35" spans="1:7" ht="15.6">
      <c r="B35" s="195" t="s">
        <v>220</v>
      </c>
      <c r="C35" s="195"/>
    </row>
    <row r="39" spans="1:7" ht="15.6">
      <c r="B39" s="132"/>
    </row>
    <row r="47" spans="1:7" ht="15.6">
      <c r="A47" s="197" t="s">
        <v>239</v>
      </c>
      <c r="B47" s="177"/>
      <c r="C47" s="177"/>
      <c r="D47" s="177"/>
      <c r="E47" s="177"/>
      <c r="F47" s="177"/>
      <c r="G47" s="177"/>
    </row>
    <row r="48" spans="1:7" ht="15.6">
      <c r="A48" s="197" t="s">
        <v>240</v>
      </c>
      <c r="B48" s="177"/>
      <c r="C48" s="177"/>
      <c r="D48" s="177"/>
      <c r="E48" s="177"/>
      <c r="F48" s="177"/>
      <c r="G48" s="177"/>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4D946-1070-4C40-8B76-64DB56DFE4B1}">
  <dimension ref="B3:M138"/>
  <sheetViews>
    <sheetView workbookViewId="0">
      <selection activeCell="I10" sqref="I10"/>
    </sheetView>
  </sheetViews>
  <sheetFormatPr defaultColWidth="9.21875" defaultRowHeight="13.2"/>
  <cols>
    <col min="1" max="1" width="9.21875" style="156"/>
    <col min="2" max="2" width="44.77734375" style="156" bestFit="1" customWidth="1"/>
    <col min="3" max="6" width="11.44140625" style="156" customWidth="1"/>
    <col min="7" max="7" width="5.77734375" style="156" customWidth="1"/>
    <col min="8" max="16384" width="9.21875" style="156"/>
  </cols>
  <sheetData>
    <row r="3" spans="2:9">
      <c r="B3" s="156" t="s">
        <v>210</v>
      </c>
      <c r="C3" s="157">
        <v>0.03</v>
      </c>
    </row>
    <row r="4" spans="2:9">
      <c r="B4" s="156" t="s">
        <v>211</v>
      </c>
      <c r="C4" s="157">
        <v>0.04</v>
      </c>
    </row>
    <row r="6" spans="2:9">
      <c r="B6" s="158" t="s">
        <v>212</v>
      </c>
      <c r="C6" s="159" t="s">
        <v>213</v>
      </c>
      <c r="D6" s="159" t="s">
        <v>214</v>
      </c>
      <c r="E6" s="159" t="s">
        <v>215</v>
      </c>
      <c r="F6" s="159" t="s">
        <v>216</v>
      </c>
      <c r="G6" s="159"/>
    </row>
    <row r="7" spans="2:9">
      <c r="B7" s="156" t="s">
        <v>5</v>
      </c>
      <c r="C7" s="160">
        <v>40</v>
      </c>
      <c r="D7" s="160">
        <v>40</v>
      </c>
      <c r="E7" s="160">
        <v>40</v>
      </c>
      <c r="F7" s="160">
        <v>0</v>
      </c>
      <c r="G7" s="160"/>
    </row>
    <row r="8" spans="2:9">
      <c r="B8" s="156" t="s">
        <v>30</v>
      </c>
      <c r="C8" s="160">
        <v>0</v>
      </c>
      <c r="D8" s="160">
        <v>20</v>
      </c>
      <c r="E8" s="160">
        <v>30</v>
      </c>
      <c r="F8" s="160">
        <v>55</v>
      </c>
      <c r="G8" s="160"/>
    </row>
    <row r="9" spans="2:9">
      <c r="B9" s="156" t="s">
        <v>6</v>
      </c>
      <c r="C9" s="160">
        <v>7.5</v>
      </c>
      <c r="D9" s="160">
        <v>2.5</v>
      </c>
      <c r="E9" s="160">
        <v>2.5</v>
      </c>
      <c r="F9" s="160">
        <v>2.5</v>
      </c>
      <c r="G9" s="160"/>
    </row>
    <row r="10" spans="2:9">
      <c r="B10" s="156" t="s">
        <v>217</v>
      </c>
      <c r="C10" s="160">
        <v>15</v>
      </c>
      <c r="D10" s="160">
        <v>10</v>
      </c>
      <c r="E10" s="160">
        <v>8</v>
      </c>
      <c r="F10" s="160">
        <v>0</v>
      </c>
      <c r="G10" s="160"/>
    </row>
    <row r="11" spans="2:9" ht="13.8" thickBot="1">
      <c r="C11" s="160"/>
      <c r="D11" s="160"/>
      <c r="E11" s="160"/>
    </row>
    <row r="12" spans="2:9" ht="13.8" thickBot="1">
      <c r="B12" s="156" t="s">
        <v>218</v>
      </c>
      <c r="C12" s="161">
        <f>-(C8+C9-C7)</f>
        <v>32.5</v>
      </c>
      <c r="D12" s="162">
        <f>-(D8+D9-D7)</f>
        <v>17.5</v>
      </c>
      <c r="E12" s="162">
        <f>-(E8+E9-E7)</f>
        <v>7.5</v>
      </c>
      <c r="F12" s="163">
        <f>-(F8+F9-F7)</f>
        <v>-57.5</v>
      </c>
      <c r="G12" s="164"/>
    </row>
    <row r="13" spans="2:9" ht="13.8" thickBot="1">
      <c r="B13" s="156" t="s">
        <v>210</v>
      </c>
      <c r="C13" s="161"/>
      <c r="D13" s="162">
        <f>-$C$3*C10</f>
        <v>-0.44999999999999996</v>
      </c>
      <c r="E13" s="162">
        <f>-$C$3*D10</f>
        <v>-0.3</v>
      </c>
      <c r="F13" s="163">
        <f>-$C$3*E10</f>
        <v>-0.24</v>
      </c>
      <c r="G13" s="164"/>
    </row>
    <row r="14" spans="2:9" ht="13.8" thickBot="1">
      <c r="B14" s="165" t="s">
        <v>219</v>
      </c>
      <c r="C14" s="161">
        <f>C12+C13</f>
        <v>32.5</v>
      </c>
      <c r="D14" s="162">
        <f>D12+D13</f>
        <v>17.05</v>
      </c>
      <c r="E14" s="162">
        <f>E12+E13</f>
        <v>7.2</v>
      </c>
      <c r="F14" s="163">
        <f>F12+F13</f>
        <v>-57.74</v>
      </c>
      <c r="G14" s="164"/>
      <c r="H14" s="166" t="s">
        <v>220</v>
      </c>
    </row>
    <row r="15" spans="2:9" ht="13.8" thickBot="1">
      <c r="B15" s="165" t="s">
        <v>221</v>
      </c>
      <c r="C15" s="161">
        <f>F14/((1+$C$4)^3)+E14/((1+$C$4)^2)+D14/(1+$C$4)</f>
        <v>-28.279614246700046</v>
      </c>
      <c r="D15" s="162">
        <f>F14/((1+$C$4)^2)+E14/(1+$C$4)</f>
        <v>-46.460798816568044</v>
      </c>
      <c r="E15" s="162">
        <f>F14/(1+$C$4)</f>
        <v>-55.519230769230766</v>
      </c>
      <c r="F15" s="167">
        <v>0</v>
      </c>
      <c r="G15" s="166"/>
      <c r="H15" s="168">
        <f>F14/((1+$C$4)^3)</f>
        <v>-51.330649749658626</v>
      </c>
      <c r="I15" s="156" t="s">
        <v>222</v>
      </c>
    </row>
    <row r="16" spans="2:9">
      <c r="C16" s="164"/>
      <c r="D16" s="160"/>
      <c r="E16" s="160"/>
      <c r="H16" s="169">
        <f>E14/((1+$C$4)^2)</f>
        <v>6.6568047337278102</v>
      </c>
      <c r="I16" s="156" t="s">
        <v>223</v>
      </c>
    </row>
    <row r="17" spans="2:13" ht="13.8" thickBot="1">
      <c r="B17" s="156" t="s">
        <v>224</v>
      </c>
      <c r="C17" s="170">
        <f>C7-C9</f>
        <v>32.5</v>
      </c>
      <c r="D17" s="171"/>
      <c r="E17" s="170"/>
      <c r="H17" s="169">
        <f>D14/(1+$C$4)</f>
        <v>16.39423076923077</v>
      </c>
      <c r="I17" s="156" t="s">
        <v>225</v>
      </c>
    </row>
    <row r="18" spans="2:13" ht="13.8" thickBot="1">
      <c r="B18" s="172" t="s">
        <v>226</v>
      </c>
      <c r="C18" s="173">
        <f>C15+C17</f>
        <v>4.2203857532999542</v>
      </c>
      <c r="D18" s="174"/>
      <c r="H18" s="175">
        <f>H15+H16+H17</f>
        <v>-28.279614246700046</v>
      </c>
      <c r="I18" s="165" t="s">
        <v>227</v>
      </c>
      <c r="J18" s="165"/>
      <c r="K18" s="165"/>
      <c r="L18" s="165"/>
      <c r="M18" s="165"/>
    </row>
    <row r="19" spans="2:13" s="71" customFormat="1"/>
    <row r="20" spans="2:13" s="71" customFormat="1">
      <c r="H20" s="164"/>
    </row>
    <row r="21" spans="2:13" s="71" customFormat="1"/>
    <row r="22" spans="2:13" s="71" customFormat="1"/>
    <row r="23" spans="2:13" s="71" customFormat="1"/>
    <row r="24" spans="2:13" s="71" customFormat="1"/>
    <row r="25" spans="2:13" s="71" customFormat="1"/>
    <row r="26" spans="2:13" s="71" customFormat="1"/>
    <row r="27" spans="2:13" s="71" customFormat="1"/>
    <row r="28" spans="2:13" s="71" customFormat="1"/>
    <row r="29" spans="2:13" s="71" customFormat="1"/>
    <row r="30" spans="2:13" s="71" customFormat="1"/>
    <row r="31" spans="2:13" s="71" customFormat="1"/>
    <row r="32" spans="2:13" s="71" customFormat="1"/>
    <row r="33" s="71" customFormat="1"/>
    <row r="34" s="71" customFormat="1"/>
    <row r="35" s="71" customFormat="1"/>
    <row r="36" s="71" customFormat="1"/>
    <row r="37" s="71" customFormat="1"/>
    <row r="38" s="71" customFormat="1"/>
    <row r="39" s="71" customFormat="1"/>
    <row r="40" s="71" customFormat="1"/>
    <row r="41" s="71" customFormat="1"/>
    <row r="42" s="71" customFormat="1"/>
    <row r="43" s="71" customFormat="1"/>
    <row r="44" s="71" customFormat="1"/>
    <row r="45" s="71" customFormat="1"/>
    <row r="46" s="71" customFormat="1"/>
    <row r="47" s="71" customFormat="1"/>
    <row r="48" s="71" customFormat="1"/>
    <row r="49" s="71" customFormat="1"/>
    <row r="50" s="71" customFormat="1"/>
    <row r="51" s="71" customFormat="1"/>
    <row r="52" s="71" customFormat="1"/>
    <row r="53" s="71" customFormat="1"/>
    <row r="54" s="71" customFormat="1"/>
    <row r="55" s="71" customFormat="1"/>
    <row r="56" s="71" customFormat="1"/>
    <row r="57" s="71" customFormat="1"/>
    <row r="58" s="71" customFormat="1"/>
    <row r="59" s="71" customFormat="1"/>
    <row r="60" s="71" customFormat="1"/>
    <row r="61" s="71" customFormat="1"/>
    <row r="62" s="71" customFormat="1"/>
    <row r="63" s="71" customFormat="1"/>
    <row r="64" s="71" customFormat="1"/>
    <row r="65" s="71" customFormat="1"/>
    <row r="66" s="71" customFormat="1"/>
    <row r="67" s="71" customFormat="1"/>
    <row r="68" s="71" customFormat="1"/>
    <row r="69" s="71" customFormat="1"/>
    <row r="70" s="71" customFormat="1"/>
    <row r="71" s="71" customFormat="1"/>
    <row r="72" s="71" customFormat="1"/>
    <row r="73" s="71" customFormat="1"/>
    <row r="74" s="71" customFormat="1"/>
    <row r="75" s="71" customFormat="1"/>
    <row r="76" s="71" customFormat="1"/>
    <row r="77" s="71" customFormat="1"/>
    <row r="78" s="71" customFormat="1"/>
    <row r="79" s="71" customFormat="1"/>
    <row r="80" s="71" customFormat="1"/>
    <row r="81" s="71" customFormat="1"/>
    <row r="82" s="71" customFormat="1"/>
    <row r="83" s="71" customFormat="1"/>
    <row r="84" s="71" customFormat="1"/>
    <row r="85" s="71" customFormat="1"/>
    <row r="86" s="71" customFormat="1"/>
    <row r="87" s="71" customFormat="1"/>
    <row r="88" s="71" customFormat="1"/>
    <row r="89" s="71" customFormat="1"/>
    <row r="90" s="71" customFormat="1"/>
    <row r="91" s="71" customFormat="1"/>
    <row r="92" s="71" customFormat="1"/>
    <row r="93" s="71" customFormat="1"/>
    <row r="94" s="71" customFormat="1"/>
    <row r="95" s="71" customFormat="1"/>
    <row r="96" s="71" customFormat="1"/>
    <row r="97" s="71" customFormat="1"/>
    <row r="98" s="71" customFormat="1"/>
    <row r="99" s="71" customFormat="1"/>
    <row r="100" s="71" customFormat="1"/>
    <row r="101" s="71" customFormat="1"/>
    <row r="102" s="71" customFormat="1"/>
    <row r="103" s="71" customFormat="1"/>
    <row r="104" s="71" customFormat="1"/>
    <row r="105" s="71" customFormat="1"/>
    <row r="106" s="71" customFormat="1"/>
    <row r="107" s="71" customFormat="1"/>
    <row r="108" s="71" customFormat="1"/>
    <row r="109" s="71" customFormat="1"/>
    <row r="110" s="71" customFormat="1"/>
    <row r="111" s="71" customFormat="1"/>
    <row r="112" s="71" customFormat="1"/>
    <row r="113" s="71" customFormat="1"/>
    <row r="114" s="71" customFormat="1"/>
    <row r="115" s="71" customFormat="1"/>
    <row r="116" s="71" customFormat="1"/>
    <row r="117" s="71" customFormat="1"/>
    <row r="118" s="71" customFormat="1"/>
    <row r="119" s="71" customFormat="1"/>
    <row r="120" s="71" customFormat="1"/>
    <row r="121" s="71" customFormat="1"/>
    <row r="122" s="71" customFormat="1"/>
    <row r="123" s="71" customFormat="1"/>
    <row r="124" s="71" customFormat="1"/>
    <row r="125" s="71" customFormat="1"/>
    <row r="126" s="71" customFormat="1"/>
    <row r="127" s="71" customFormat="1"/>
    <row r="128" s="71" customFormat="1"/>
    <row r="129" s="71" customFormat="1"/>
    <row r="130" s="71" customFormat="1"/>
    <row r="131" s="71" customFormat="1"/>
    <row r="132" s="71" customFormat="1"/>
    <row r="133" s="71" customFormat="1"/>
    <row r="134" s="71" customFormat="1"/>
    <row r="135" s="71" customFormat="1"/>
    <row r="136" s="71" customFormat="1"/>
    <row r="137" s="71" customFormat="1"/>
    <row r="138" s="71" customFormat="1"/>
  </sheetData>
  <pageMargins left="0.7" right="0.7" top="0.75" bottom="0.75" header="0.3" footer="0.3"/>
  <pageSetup orientation="portrait" horizontalDpi="200" verticalDpi="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6E936-16D0-4EC9-929A-BD946E474F3B}">
  <dimension ref="A1:F50"/>
  <sheetViews>
    <sheetView workbookViewId="0"/>
  </sheetViews>
  <sheetFormatPr defaultColWidth="9.21875" defaultRowHeight="13.8"/>
  <cols>
    <col min="1" max="1" width="9.21875" style="198"/>
    <col min="2" max="2" width="11.21875" style="198" customWidth="1"/>
    <col min="3" max="3" width="23.77734375" style="198" customWidth="1"/>
    <col min="4" max="4" width="26.77734375" style="198" customWidth="1"/>
    <col min="5" max="5" width="21.77734375" style="198" customWidth="1"/>
    <col min="6" max="6" width="23.44140625" style="198" customWidth="1"/>
    <col min="7" max="16384" width="9.21875" style="198"/>
  </cols>
  <sheetData>
    <row r="1" spans="1:6" ht="17.399999999999999">
      <c r="A1" s="176" t="s">
        <v>241</v>
      </c>
      <c r="B1" s="194"/>
      <c r="C1" s="194"/>
      <c r="D1" s="194"/>
      <c r="E1" s="194"/>
      <c r="F1" s="194"/>
    </row>
    <row r="2" spans="1:6" ht="17.399999999999999">
      <c r="A2" s="176"/>
      <c r="B2" s="194"/>
      <c r="C2" s="194"/>
      <c r="D2" s="194"/>
      <c r="E2" s="194"/>
      <c r="F2" s="194"/>
    </row>
    <row r="3" spans="1:6" ht="15.6">
      <c r="A3" s="178" t="s">
        <v>242</v>
      </c>
      <c r="B3" s="194"/>
      <c r="C3" s="194"/>
      <c r="D3" s="194"/>
      <c r="E3" s="194"/>
      <c r="F3" s="194"/>
    </row>
    <row r="4" spans="1:6" s="199" customFormat="1" ht="16.2" thickBot="1">
      <c r="A4" s="178"/>
      <c r="B4" s="180"/>
      <c r="C4" s="180"/>
      <c r="D4" s="180"/>
      <c r="E4" s="180"/>
      <c r="F4" s="180"/>
    </row>
    <row r="5" spans="1:6" s="195" customFormat="1" ht="20.25" customHeight="1" thickBot="1">
      <c r="A5" s="178"/>
      <c r="B5" s="200" t="s">
        <v>243</v>
      </c>
      <c r="C5" s="201" t="s">
        <v>244</v>
      </c>
      <c r="D5" s="201" t="s">
        <v>245</v>
      </c>
      <c r="E5" s="178"/>
      <c r="F5" s="178"/>
    </row>
    <row r="6" spans="1:6" s="195" customFormat="1" ht="31.8" thickBot="1">
      <c r="A6" s="178"/>
      <c r="B6" s="202">
        <v>1</v>
      </c>
      <c r="C6" s="203" t="s">
        <v>246</v>
      </c>
      <c r="D6" s="203" t="s">
        <v>247</v>
      </c>
      <c r="E6" s="178"/>
      <c r="F6" s="178"/>
    </row>
    <row r="7" spans="1:6" s="195" customFormat="1" ht="32.25" customHeight="1" thickBot="1">
      <c r="A7" s="178"/>
      <c r="B7" s="202">
        <v>2</v>
      </c>
      <c r="C7" s="203" t="s">
        <v>248</v>
      </c>
      <c r="D7" s="203" t="s">
        <v>249</v>
      </c>
      <c r="E7" s="178"/>
      <c r="F7" s="178"/>
    </row>
    <row r="8" spans="1:6" s="195" customFormat="1" ht="31.8" thickBot="1">
      <c r="A8" s="178"/>
      <c r="B8" s="202">
        <v>3</v>
      </c>
      <c r="C8" s="203" t="s">
        <v>246</v>
      </c>
      <c r="D8" s="203" t="s">
        <v>250</v>
      </c>
      <c r="E8" s="178"/>
      <c r="F8" s="178"/>
    </row>
    <row r="9" spans="1:6" s="195" customFormat="1" ht="31.8" thickBot="1">
      <c r="A9" s="178"/>
      <c r="B9" s="202">
        <v>4</v>
      </c>
      <c r="C9" s="203" t="s">
        <v>251</v>
      </c>
      <c r="D9" s="203" t="s">
        <v>252</v>
      </c>
      <c r="E9" s="178"/>
      <c r="F9" s="178"/>
    </row>
    <row r="10" spans="1:6" s="199" customFormat="1" ht="15.6">
      <c r="A10" s="178"/>
      <c r="B10" s="178"/>
      <c r="C10" s="178"/>
      <c r="D10" s="204"/>
      <c r="E10" s="178"/>
      <c r="F10" s="178"/>
    </row>
    <row r="11" spans="1:6" s="199" customFormat="1" ht="15.6">
      <c r="A11" s="178"/>
      <c r="B11" s="205" t="s">
        <v>253</v>
      </c>
      <c r="C11" s="178"/>
      <c r="D11" s="204"/>
      <c r="E11" s="204"/>
      <c r="F11" s="180"/>
    </row>
    <row r="12" spans="1:6" s="199" customFormat="1" ht="15.6">
      <c r="A12" s="178"/>
      <c r="B12" s="205" t="s">
        <v>254</v>
      </c>
      <c r="C12" s="178"/>
      <c r="D12" s="204"/>
      <c r="E12" s="204"/>
      <c r="F12" s="180"/>
    </row>
    <row r="13" spans="1:6" s="199" customFormat="1" ht="16.2" thickBot="1">
      <c r="A13" s="178"/>
      <c r="B13" s="178"/>
      <c r="C13" s="178"/>
      <c r="D13" s="204"/>
      <c r="E13" s="204"/>
      <c r="F13" s="180"/>
    </row>
    <row r="14" spans="1:6" s="199" customFormat="1" ht="16.2" thickBot="1">
      <c r="A14" s="178"/>
      <c r="B14" s="206" t="s">
        <v>56</v>
      </c>
      <c r="C14" s="207" t="s">
        <v>255</v>
      </c>
      <c r="D14" s="204"/>
      <c r="E14" s="204"/>
      <c r="F14" s="180"/>
    </row>
    <row r="15" spans="1:6" s="199" customFormat="1" ht="16.2" thickBot="1">
      <c r="A15" s="178"/>
      <c r="B15" s="208">
        <v>0</v>
      </c>
      <c r="C15" s="209">
        <v>1000</v>
      </c>
      <c r="D15" s="204"/>
      <c r="E15" s="204"/>
      <c r="F15" s="180"/>
    </row>
    <row r="16" spans="1:6" s="199" customFormat="1" ht="16.2" thickBot="1">
      <c r="A16" s="178"/>
      <c r="B16" s="208">
        <v>1</v>
      </c>
      <c r="C16" s="209">
        <v>1160</v>
      </c>
      <c r="D16" s="204"/>
      <c r="E16" s="204"/>
      <c r="F16" s="180"/>
    </row>
    <row r="17" spans="1:6" s="199" customFormat="1" ht="16.2" thickBot="1">
      <c r="A17" s="178"/>
      <c r="B17" s="208">
        <v>2</v>
      </c>
      <c r="C17" s="209">
        <v>1200</v>
      </c>
      <c r="D17" s="204"/>
      <c r="E17" s="204"/>
      <c r="F17" s="180"/>
    </row>
    <row r="18" spans="1:6" s="199" customFormat="1" ht="16.2" thickBot="1">
      <c r="A18" s="178"/>
      <c r="B18" s="208">
        <v>3</v>
      </c>
      <c r="C18" s="209">
        <v>1085</v>
      </c>
      <c r="D18" s="204"/>
      <c r="E18" s="204"/>
      <c r="F18" s="180"/>
    </row>
    <row r="19" spans="1:6" s="199" customFormat="1" ht="16.2" thickBot="1">
      <c r="A19" s="178"/>
      <c r="B19" s="208">
        <v>4</v>
      </c>
      <c r="C19" s="209">
        <v>1130</v>
      </c>
      <c r="D19" s="204"/>
      <c r="E19" s="204"/>
      <c r="F19" s="180"/>
    </row>
    <row r="20" spans="1:6" s="199" customFormat="1" ht="16.2" thickBot="1">
      <c r="A20" s="178"/>
      <c r="B20" s="208">
        <v>5</v>
      </c>
      <c r="C20" s="210">
        <v>900</v>
      </c>
      <c r="D20" s="204"/>
      <c r="E20" s="204"/>
      <c r="F20" s="180"/>
    </row>
    <row r="21" spans="1:6" s="199" customFormat="1" ht="15.6">
      <c r="A21" s="178"/>
      <c r="B21" s="178"/>
      <c r="C21" s="178"/>
      <c r="D21" s="204"/>
      <c r="E21" s="204"/>
      <c r="F21" s="180"/>
    </row>
    <row r="22" spans="1:6" s="199" customFormat="1" ht="15.6">
      <c r="A22" s="178"/>
      <c r="B22" s="178" t="s">
        <v>256</v>
      </c>
      <c r="C22" s="178"/>
      <c r="D22" s="204"/>
      <c r="E22" s="204"/>
      <c r="F22" s="180"/>
    </row>
    <row r="23" spans="1:6" s="199" customFormat="1" ht="15.6">
      <c r="A23" s="178"/>
      <c r="B23" s="178" t="s">
        <v>257</v>
      </c>
      <c r="C23" s="178"/>
      <c r="D23" s="204"/>
      <c r="E23" s="204"/>
      <c r="F23" s="180"/>
    </row>
    <row r="24" spans="1:6" s="199" customFormat="1" ht="15.6">
      <c r="A24" s="178"/>
      <c r="B24" s="178"/>
      <c r="C24" s="178"/>
      <c r="D24" s="204"/>
      <c r="E24" s="204"/>
      <c r="F24" s="180"/>
    </row>
    <row r="25" spans="1:6" ht="15.6">
      <c r="A25" s="178"/>
      <c r="B25" s="178"/>
      <c r="C25" s="178"/>
      <c r="D25" s="211"/>
      <c r="E25" s="211"/>
      <c r="F25" s="194"/>
    </row>
    <row r="27" spans="1:6" ht="15.6">
      <c r="A27" s="195" t="s">
        <v>52</v>
      </c>
    </row>
    <row r="28" spans="1:6">
      <c r="B28" s="212"/>
    </row>
    <row r="29" spans="1:6">
      <c r="A29" s="198" t="s">
        <v>258</v>
      </c>
      <c r="B29" s="212" t="s">
        <v>177</v>
      </c>
    </row>
    <row r="30" spans="1:6">
      <c r="B30" s="212"/>
    </row>
    <row r="31" spans="1:6">
      <c r="B31" s="212"/>
    </row>
    <row r="32" spans="1:6">
      <c r="B32" s="212"/>
    </row>
    <row r="33" spans="2:6">
      <c r="B33" s="212"/>
    </row>
    <row r="34" spans="2:6">
      <c r="B34" s="212"/>
    </row>
    <row r="35" spans="2:6">
      <c r="B35" s="212"/>
    </row>
    <row r="36" spans="2:6">
      <c r="B36" s="212"/>
    </row>
    <row r="37" spans="2:6" ht="14.4" thickBot="1">
      <c r="B37" s="212"/>
    </row>
    <row r="38" spans="2:6" ht="31.8" thickBot="1">
      <c r="B38" s="217" t="s">
        <v>56</v>
      </c>
      <c r="C38" s="218" t="s">
        <v>246</v>
      </c>
      <c r="D38" s="219" t="s">
        <v>248</v>
      </c>
      <c r="E38" s="219" t="s">
        <v>246</v>
      </c>
      <c r="F38" s="219" t="s">
        <v>251</v>
      </c>
    </row>
    <row r="39" spans="2:6">
      <c r="B39" s="220">
        <v>0</v>
      </c>
      <c r="C39" s="269"/>
      <c r="D39" s="269"/>
      <c r="E39" s="269"/>
      <c r="F39" s="269"/>
    </row>
    <row r="40" spans="2:6">
      <c r="B40" s="222">
        <v>1</v>
      </c>
      <c r="C40" s="270"/>
      <c r="D40" s="270"/>
      <c r="E40" s="270"/>
      <c r="F40" s="270"/>
    </row>
    <row r="41" spans="2:6">
      <c r="B41" s="222">
        <v>2</v>
      </c>
      <c r="C41" s="270"/>
      <c r="D41" s="270"/>
      <c r="E41" s="270"/>
      <c r="F41" s="270"/>
    </row>
    <row r="42" spans="2:6">
      <c r="B42" s="222">
        <v>3</v>
      </c>
      <c r="C42" s="270"/>
      <c r="D42" s="270"/>
      <c r="E42" s="270"/>
      <c r="F42" s="270"/>
    </row>
    <row r="43" spans="2:6">
      <c r="B43" s="222">
        <v>4</v>
      </c>
      <c r="C43" s="270"/>
      <c r="D43" s="270"/>
      <c r="E43" s="270"/>
      <c r="F43" s="270"/>
    </row>
    <row r="44" spans="2:6" ht="14.4" thickBot="1">
      <c r="B44" s="224">
        <v>5</v>
      </c>
      <c r="C44" s="271"/>
      <c r="D44" s="271"/>
      <c r="E44" s="271"/>
      <c r="F44" s="271"/>
    </row>
    <row r="45" spans="2:6">
      <c r="B45" s="213"/>
    </row>
    <row r="46" spans="2:6">
      <c r="B46" s="213"/>
    </row>
    <row r="47" spans="2:6">
      <c r="B47" s="213"/>
    </row>
    <row r="50" spans="1:5" ht="15.6">
      <c r="A50" s="197" t="s">
        <v>260</v>
      </c>
      <c r="B50" s="194"/>
      <c r="C50" s="194"/>
      <c r="D50" s="194"/>
      <c r="E50" s="194"/>
    </row>
  </sheetData>
  <pageMargins left="0.7" right="0.7" top="0.75" bottom="0.75" header="0.3" footer="0.3"/>
  <pageSetup orientation="portrait" horizontalDpi="90" verticalDpi="9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4BE5B-86EB-497B-BA19-806968E8D617}">
  <dimension ref="A1:F49"/>
  <sheetViews>
    <sheetView zoomScale="80" zoomScaleNormal="80" workbookViewId="0">
      <selection activeCell="E84" sqref="E84"/>
    </sheetView>
  </sheetViews>
  <sheetFormatPr defaultColWidth="9.21875" defaultRowHeight="13.8"/>
  <cols>
    <col min="1" max="1" width="9.21875" style="198"/>
    <col min="2" max="2" width="11.21875" style="198" customWidth="1"/>
    <col min="3" max="3" width="23.77734375" style="198" customWidth="1"/>
    <col min="4" max="4" width="26.77734375" style="198" customWidth="1"/>
    <col min="5" max="5" width="21.77734375" style="198" customWidth="1"/>
    <col min="6" max="6" width="23.44140625" style="198" customWidth="1"/>
    <col min="7" max="16384" width="9.21875" style="198"/>
  </cols>
  <sheetData>
    <row r="1" spans="1:6" ht="17.399999999999999">
      <c r="A1" s="176" t="s">
        <v>241</v>
      </c>
      <c r="B1" s="194"/>
      <c r="C1" s="194"/>
      <c r="D1" s="194"/>
      <c r="E1" s="194"/>
      <c r="F1" s="194"/>
    </row>
    <row r="2" spans="1:6" ht="17.399999999999999">
      <c r="A2" s="176"/>
      <c r="B2" s="194"/>
      <c r="C2" s="194"/>
      <c r="D2" s="194"/>
      <c r="E2" s="194"/>
      <c r="F2" s="194"/>
    </row>
    <row r="3" spans="1:6" ht="15.6">
      <c r="A3" s="178" t="s">
        <v>242</v>
      </c>
      <c r="B3" s="194"/>
      <c r="C3" s="194"/>
      <c r="D3" s="194"/>
      <c r="E3" s="194"/>
      <c r="F3" s="194"/>
    </row>
    <row r="4" spans="1:6" s="199" customFormat="1" ht="16.2" thickBot="1">
      <c r="A4" s="178"/>
      <c r="B4" s="180"/>
      <c r="C4" s="180"/>
      <c r="D4" s="180"/>
      <c r="E4" s="180"/>
      <c r="F4" s="180"/>
    </row>
    <row r="5" spans="1:6" s="195" customFormat="1" ht="20.25" customHeight="1" thickBot="1">
      <c r="A5" s="178"/>
      <c r="B5" s="200" t="s">
        <v>243</v>
      </c>
      <c r="C5" s="201" t="s">
        <v>244</v>
      </c>
      <c r="D5" s="201" t="s">
        <v>245</v>
      </c>
      <c r="E5" s="178"/>
      <c r="F5" s="178"/>
    </row>
    <row r="6" spans="1:6" s="195" customFormat="1" ht="31.8" thickBot="1">
      <c r="A6" s="178"/>
      <c r="B6" s="202">
        <v>1</v>
      </c>
      <c r="C6" s="203" t="s">
        <v>246</v>
      </c>
      <c r="D6" s="203" t="s">
        <v>247</v>
      </c>
      <c r="E6" s="178"/>
      <c r="F6" s="178"/>
    </row>
    <row r="7" spans="1:6" s="195" customFormat="1" ht="32.25" customHeight="1" thickBot="1">
      <c r="A7" s="178"/>
      <c r="B7" s="202">
        <v>2</v>
      </c>
      <c r="C7" s="203" t="s">
        <v>248</v>
      </c>
      <c r="D7" s="203" t="s">
        <v>249</v>
      </c>
      <c r="E7" s="178"/>
      <c r="F7" s="178"/>
    </row>
    <row r="8" spans="1:6" s="195" customFormat="1" ht="31.8" thickBot="1">
      <c r="A8" s="178"/>
      <c r="B8" s="202">
        <v>3</v>
      </c>
      <c r="C8" s="203" t="s">
        <v>246</v>
      </c>
      <c r="D8" s="203" t="s">
        <v>250</v>
      </c>
      <c r="E8" s="178"/>
      <c r="F8" s="178"/>
    </row>
    <row r="9" spans="1:6" s="195" customFormat="1" ht="31.8" thickBot="1">
      <c r="A9" s="178"/>
      <c r="B9" s="202">
        <v>4</v>
      </c>
      <c r="C9" s="203" t="s">
        <v>251</v>
      </c>
      <c r="D9" s="203" t="s">
        <v>252</v>
      </c>
      <c r="E9" s="178"/>
      <c r="F9" s="178"/>
    </row>
    <row r="10" spans="1:6" s="199" customFormat="1" ht="15.6">
      <c r="A10" s="178"/>
      <c r="B10" s="178"/>
      <c r="C10" s="178"/>
      <c r="D10" s="204"/>
      <c r="E10" s="178"/>
      <c r="F10" s="178"/>
    </row>
    <row r="11" spans="1:6" s="199" customFormat="1" ht="15.6">
      <c r="A11" s="178"/>
      <c r="B11" s="205" t="s">
        <v>253</v>
      </c>
      <c r="C11" s="178"/>
      <c r="D11" s="204"/>
      <c r="E11" s="204"/>
      <c r="F11" s="180"/>
    </row>
    <row r="12" spans="1:6" s="199" customFormat="1" ht="15.6">
      <c r="A12" s="178"/>
      <c r="B12" s="205" t="s">
        <v>254</v>
      </c>
      <c r="C12" s="178"/>
      <c r="D12" s="204"/>
      <c r="E12" s="204"/>
      <c r="F12" s="180"/>
    </row>
    <row r="13" spans="1:6" s="199" customFormat="1" ht="16.2" thickBot="1">
      <c r="A13" s="178"/>
      <c r="B13" s="178"/>
      <c r="C13" s="178"/>
      <c r="D13" s="204"/>
      <c r="E13" s="204"/>
      <c r="F13" s="180"/>
    </row>
    <row r="14" spans="1:6" s="199" customFormat="1" ht="16.2" thickBot="1">
      <c r="A14" s="178"/>
      <c r="B14" s="206" t="s">
        <v>56</v>
      </c>
      <c r="C14" s="207" t="s">
        <v>255</v>
      </c>
      <c r="D14" s="204"/>
      <c r="E14" s="204"/>
      <c r="F14" s="180"/>
    </row>
    <row r="15" spans="1:6" s="199" customFormat="1" ht="16.2" thickBot="1">
      <c r="A15" s="178"/>
      <c r="B15" s="208">
        <v>0</v>
      </c>
      <c r="C15" s="209">
        <v>1000</v>
      </c>
      <c r="D15" s="204"/>
      <c r="E15" s="204"/>
      <c r="F15" s="180"/>
    </row>
    <row r="16" spans="1:6" s="199" customFormat="1" ht="16.2" thickBot="1">
      <c r="A16" s="178"/>
      <c r="B16" s="208">
        <v>1</v>
      </c>
      <c r="C16" s="209">
        <v>1160</v>
      </c>
      <c r="D16" s="204"/>
      <c r="E16" s="204"/>
      <c r="F16" s="180"/>
    </row>
    <row r="17" spans="1:6" s="199" customFormat="1" ht="16.2" thickBot="1">
      <c r="A17" s="178"/>
      <c r="B17" s="208">
        <v>2</v>
      </c>
      <c r="C17" s="209">
        <v>1200</v>
      </c>
      <c r="D17" s="204"/>
      <c r="E17" s="204"/>
      <c r="F17" s="180"/>
    </row>
    <row r="18" spans="1:6" s="199" customFormat="1" ht="16.2" thickBot="1">
      <c r="A18" s="178"/>
      <c r="B18" s="208">
        <v>3</v>
      </c>
      <c r="C18" s="209">
        <v>1085</v>
      </c>
      <c r="D18" s="204"/>
      <c r="E18" s="204"/>
      <c r="F18" s="180"/>
    </row>
    <row r="19" spans="1:6" s="199" customFormat="1" ht="16.2" thickBot="1">
      <c r="A19" s="178"/>
      <c r="B19" s="208">
        <v>4</v>
      </c>
      <c r="C19" s="209">
        <v>1130</v>
      </c>
      <c r="D19" s="204"/>
      <c r="E19" s="204"/>
      <c r="F19" s="180"/>
    </row>
    <row r="20" spans="1:6" s="199" customFormat="1" ht="16.2" thickBot="1">
      <c r="A20" s="178"/>
      <c r="B20" s="208">
        <v>5</v>
      </c>
      <c r="C20" s="210">
        <v>900</v>
      </c>
      <c r="D20" s="204"/>
      <c r="E20" s="204"/>
      <c r="F20" s="180"/>
    </row>
    <row r="21" spans="1:6" s="199" customFormat="1" ht="15.6">
      <c r="A21" s="178"/>
      <c r="B21" s="178"/>
      <c r="C21" s="178"/>
      <c r="D21" s="204"/>
      <c r="E21" s="204"/>
      <c r="F21" s="180"/>
    </row>
    <row r="22" spans="1:6" s="199" customFormat="1" ht="15.6">
      <c r="A22" s="178"/>
      <c r="B22" s="178" t="s">
        <v>256</v>
      </c>
      <c r="C22" s="178"/>
      <c r="D22" s="204"/>
      <c r="E22" s="204"/>
      <c r="F22" s="180"/>
    </row>
    <row r="23" spans="1:6" s="199" customFormat="1" ht="15.6">
      <c r="A23" s="178"/>
      <c r="B23" s="178" t="s">
        <v>257</v>
      </c>
      <c r="C23" s="178"/>
      <c r="D23" s="204"/>
      <c r="E23" s="204"/>
      <c r="F23" s="180"/>
    </row>
    <row r="24" spans="1:6" s="199" customFormat="1" ht="15.6">
      <c r="A24" s="178"/>
      <c r="B24" s="178"/>
      <c r="C24" s="178"/>
      <c r="D24" s="204"/>
      <c r="E24" s="204"/>
      <c r="F24" s="180"/>
    </row>
    <row r="25" spans="1:6" ht="15.6">
      <c r="A25" s="178"/>
      <c r="B25" s="178"/>
      <c r="C25" s="178"/>
      <c r="D25" s="211"/>
      <c r="E25" s="211"/>
      <c r="F25" s="194"/>
    </row>
    <row r="27" spans="1:6" ht="15.6">
      <c r="A27" s="195" t="s">
        <v>52</v>
      </c>
    </row>
    <row r="28" spans="1:6">
      <c r="B28" s="212"/>
    </row>
    <row r="29" spans="1:6">
      <c r="A29" s="198" t="s">
        <v>258</v>
      </c>
      <c r="B29" s="212" t="s">
        <v>177</v>
      </c>
    </row>
    <row r="30" spans="1:6">
      <c r="B30" s="212"/>
    </row>
    <row r="31" spans="1:6">
      <c r="B31" s="213" t="s">
        <v>56</v>
      </c>
      <c r="C31" s="213" t="s">
        <v>255</v>
      </c>
      <c r="D31" s="213" t="s">
        <v>259</v>
      </c>
    </row>
    <row r="32" spans="1:6">
      <c r="B32" s="214">
        <v>0</v>
      </c>
      <c r="C32" s="215">
        <v>1000</v>
      </c>
      <c r="D32" s="214"/>
    </row>
    <row r="33" spans="2:6">
      <c r="B33" s="214">
        <v>1</v>
      </c>
      <c r="C33" s="215">
        <v>1160</v>
      </c>
      <c r="D33" s="216">
        <f>+C33/C32-1</f>
        <v>0.15999999999999992</v>
      </c>
    </row>
    <row r="34" spans="2:6">
      <c r="B34" s="214">
        <v>2</v>
      </c>
      <c r="C34" s="215">
        <v>1200</v>
      </c>
      <c r="D34" s="216">
        <f t="shared" ref="D34:D37" si="0">+C34/C33-1</f>
        <v>3.4482758620689724E-2</v>
      </c>
    </row>
    <row r="35" spans="2:6">
      <c r="B35" s="214">
        <v>3</v>
      </c>
      <c r="C35" s="215">
        <v>1085</v>
      </c>
      <c r="D35" s="216">
        <f t="shared" si="0"/>
        <v>-9.5833333333333326E-2</v>
      </c>
    </row>
    <row r="36" spans="2:6">
      <c r="B36" s="214">
        <v>4</v>
      </c>
      <c r="C36" s="215">
        <v>1130</v>
      </c>
      <c r="D36" s="216">
        <f t="shared" si="0"/>
        <v>4.1474654377880116E-2</v>
      </c>
    </row>
    <row r="37" spans="2:6">
      <c r="B37" s="214">
        <v>5</v>
      </c>
      <c r="C37" s="215">
        <v>900</v>
      </c>
      <c r="D37" s="216">
        <f t="shared" si="0"/>
        <v>-0.20353982300884954</v>
      </c>
    </row>
    <row r="38" spans="2:6" ht="14.4" thickBot="1">
      <c r="B38" s="212"/>
    </row>
    <row r="39" spans="2:6" ht="31.8" thickBot="1">
      <c r="B39" s="217" t="s">
        <v>56</v>
      </c>
      <c r="C39" s="218" t="s">
        <v>246</v>
      </c>
      <c r="D39" s="218" t="s">
        <v>248</v>
      </c>
      <c r="E39" s="219" t="s">
        <v>246</v>
      </c>
      <c r="F39" s="219" t="s">
        <v>251</v>
      </c>
    </row>
    <row r="40" spans="2:6">
      <c r="B40" s="220">
        <v>0</v>
      </c>
      <c r="C40" s="221">
        <f>C32</f>
        <v>1000</v>
      </c>
      <c r="D40" s="221">
        <f>C32</f>
        <v>1000</v>
      </c>
      <c r="E40" s="221">
        <f>C32</f>
        <v>1000</v>
      </c>
      <c r="F40" s="221">
        <f>C32</f>
        <v>1000</v>
      </c>
    </row>
    <row r="41" spans="2:6">
      <c r="B41" s="222">
        <v>1</v>
      </c>
      <c r="C41" s="223">
        <f>MIN(MAX(0,D33*0.7)*C40+C40)</f>
        <v>1112</v>
      </c>
      <c r="D41" s="223">
        <f t="shared" ref="D41:D45" si="1">C33</f>
        <v>1160</v>
      </c>
      <c r="E41" s="223">
        <f>MIN(MAX(0,D33),0.04)*E40+E40</f>
        <v>1040</v>
      </c>
      <c r="F41" s="223">
        <f>IF(D33&lt;0,MIN(0,D33+0.1),MIN(D33,0.15))*F40+F40</f>
        <v>1150</v>
      </c>
    </row>
    <row r="42" spans="2:6">
      <c r="B42" s="222">
        <v>2</v>
      </c>
      <c r="C42" s="223">
        <f t="shared" ref="C42:C45" si="2">MIN(MAX(0,D34*0.7)*C41+C41)</f>
        <v>1138.8413793103448</v>
      </c>
      <c r="D42" s="223">
        <f t="shared" si="1"/>
        <v>1200</v>
      </c>
      <c r="E42" s="223">
        <f t="shared" ref="E42:E45" si="3">MIN(MAX(0,D34),0.04)*E41+E41</f>
        <v>1075.8620689655172</v>
      </c>
      <c r="F42" s="223">
        <f t="shared" ref="F42:F45" si="4">IF(D34&lt;0,MIN(0,D34+0.1),MIN(D34,0.15))*F41+F41</f>
        <v>1189.6551724137933</v>
      </c>
    </row>
    <row r="43" spans="2:6">
      <c r="B43" s="222">
        <v>3</v>
      </c>
      <c r="C43" s="223">
        <f t="shared" si="2"/>
        <v>1138.8413793103448</v>
      </c>
      <c r="D43" s="223">
        <f t="shared" si="1"/>
        <v>1085</v>
      </c>
      <c r="E43" s="223">
        <f t="shared" si="3"/>
        <v>1075.8620689655172</v>
      </c>
      <c r="F43" s="223">
        <f t="shared" si="4"/>
        <v>1189.6551724137933</v>
      </c>
    </row>
    <row r="44" spans="2:6">
      <c r="B44" s="222">
        <v>4</v>
      </c>
      <c r="C44" s="223">
        <f t="shared" si="2"/>
        <v>1171.9045161290321</v>
      </c>
      <c r="D44" s="223">
        <f t="shared" si="1"/>
        <v>1130</v>
      </c>
      <c r="E44" s="223">
        <f t="shared" si="3"/>
        <v>1118.8965517241379</v>
      </c>
      <c r="F44" s="223">
        <f t="shared" si="4"/>
        <v>1238.9957095185127</v>
      </c>
    </row>
    <row r="45" spans="2:6" ht="14.4" thickBot="1">
      <c r="B45" s="224">
        <v>5</v>
      </c>
      <c r="C45" s="225">
        <f t="shared" si="2"/>
        <v>1171.9045161290321</v>
      </c>
      <c r="D45" s="225">
        <f t="shared" si="1"/>
        <v>900</v>
      </c>
      <c r="E45" s="225">
        <f t="shared" si="3"/>
        <v>1118.8965517241379</v>
      </c>
      <c r="F45" s="225">
        <f t="shared" si="4"/>
        <v>1110.7103130462419</v>
      </c>
    </row>
    <row r="46" spans="2:6">
      <c r="B46" s="213"/>
    </row>
    <row r="49" spans="1:5" ht="15.6">
      <c r="A49" s="197" t="s">
        <v>260</v>
      </c>
      <c r="B49" s="194"/>
      <c r="C49" s="194"/>
      <c r="D49" s="194"/>
      <c r="E49" s="194"/>
    </row>
  </sheetData>
  <pageMargins left="0.7" right="0.7" top="0.75" bottom="0.75" header="0.3" footer="0.3"/>
  <pageSetup orientation="portrait" horizontalDpi="90" verticalDpi="9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5B630-7CA0-43FD-AC29-9CD0D01376C9}">
  <dimension ref="A1:G100"/>
  <sheetViews>
    <sheetView workbookViewId="0"/>
  </sheetViews>
  <sheetFormatPr defaultColWidth="9.21875" defaultRowHeight="13.8"/>
  <cols>
    <col min="1" max="1" width="9.21875" style="198"/>
    <col min="2" max="2" width="54.5546875" style="198" customWidth="1"/>
    <col min="3" max="4" width="15.21875" style="198" customWidth="1"/>
    <col min="5" max="5" width="21.77734375" style="198" customWidth="1"/>
    <col min="6" max="6" width="23.44140625" style="198" customWidth="1"/>
    <col min="7" max="16384" width="9.21875" style="198"/>
  </cols>
  <sheetData>
    <row r="1" spans="1:6" ht="17.399999999999999">
      <c r="A1" s="176" t="s">
        <v>261</v>
      </c>
      <c r="B1" s="194"/>
      <c r="C1" s="194"/>
      <c r="D1" s="194"/>
      <c r="E1" s="194"/>
      <c r="F1" s="194"/>
    </row>
    <row r="2" spans="1:6" ht="17.399999999999999">
      <c r="A2" s="176"/>
      <c r="B2" s="194"/>
      <c r="C2" s="194"/>
      <c r="D2" s="194"/>
      <c r="E2" s="194"/>
      <c r="F2" s="194"/>
    </row>
    <row r="3" spans="1:6" ht="15.6">
      <c r="A3" s="178"/>
      <c r="B3" s="178" t="s">
        <v>262</v>
      </c>
      <c r="C3" s="194"/>
      <c r="D3" s="194"/>
      <c r="E3" s="194"/>
      <c r="F3" s="194"/>
    </row>
    <row r="4" spans="1:6" s="199" customFormat="1" ht="16.2" thickBot="1">
      <c r="A4" s="178"/>
      <c r="B4" s="180"/>
      <c r="C4" s="180"/>
      <c r="D4" s="194"/>
      <c r="E4" s="180"/>
      <c r="F4" s="180"/>
    </row>
    <row r="5" spans="1:6" s="195" customFormat="1" ht="16.5" customHeight="1" thickBot="1">
      <c r="A5" s="178"/>
      <c r="B5" s="226" t="s">
        <v>263</v>
      </c>
      <c r="C5" s="227">
        <v>750000</v>
      </c>
      <c r="D5" s="194"/>
      <c r="E5" s="178"/>
      <c r="F5" s="178"/>
    </row>
    <row r="6" spans="1:6" s="195" customFormat="1" ht="16.2" thickBot="1">
      <c r="A6" s="178"/>
      <c r="B6" s="228" t="s">
        <v>264</v>
      </c>
      <c r="C6" s="229">
        <v>15</v>
      </c>
      <c r="D6" s="194"/>
      <c r="E6" s="178"/>
      <c r="F6" s="178"/>
    </row>
    <row r="7" spans="1:6" s="195" customFormat="1" ht="16.2" thickBot="1">
      <c r="A7" s="178"/>
      <c r="B7" s="228" t="s">
        <v>265</v>
      </c>
      <c r="C7" s="229">
        <v>25</v>
      </c>
      <c r="D7" s="194"/>
      <c r="E7" s="178"/>
      <c r="F7" s="178"/>
    </row>
    <row r="8" spans="1:6" s="195" customFormat="1" ht="15.6">
      <c r="A8" s="178"/>
      <c r="B8" s="194"/>
      <c r="C8" s="194"/>
      <c r="D8" s="194"/>
      <c r="E8" s="178"/>
      <c r="F8" s="178"/>
    </row>
    <row r="9" spans="1:6" s="195" customFormat="1" ht="15.6">
      <c r="A9" s="178"/>
      <c r="B9" s="194" t="s">
        <v>61</v>
      </c>
      <c r="C9" s="194"/>
      <c r="D9" s="194"/>
      <c r="E9" s="178"/>
      <c r="F9" s="178"/>
    </row>
    <row r="10" spans="1:6" s="199" customFormat="1" ht="15.6">
      <c r="A10" s="178"/>
      <c r="B10" s="230" t="s">
        <v>266</v>
      </c>
      <c r="C10" s="178"/>
      <c r="D10" s="194"/>
      <c r="E10" s="178"/>
      <c r="F10" s="178"/>
    </row>
    <row r="11" spans="1:6" s="199" customFormat="1" ht="15.6">
      <c r="A11" s="178"/>
      <c r="B11" s="230" t="s">
        <v>267</v>
      </c>
      <c r="C11" s="178"/>
      <c r="D11" s="194"/>
      <c r="E11" s="204"/>
      <c r="F11" s="180"/>
    </row>
    <row r="12" spans="1:6" s="199" customFormat="1" ht="15.6">
      <c r="A12" s="178"/>
      <c r="B12" s="230" t="s">
        <v>268</v>
      </c>
      <c r="C12" s="178"/>
      <c r="D12" s="194"/>
      <c r="E12" s="204"/>
      <c r="F12" s="180"/>
    </row>
    <row r="13" spans="1:6" s="199" customFormat="1" ht="15.6">
      <c r="A13" s="178"/>
      <c r="B13" s="205"/>
      <c r="C13" s="178"/>
      <c r="D13" s="194"/>
      <c r="E13" s="204"/>
      <c r="F13" s="180"/>
    </row>
    <row r="14" spans="1:6" s="199" customFormat="1" ht="15.6">
      <c r="A14" s="178"/>
      <c r="B14" s="178" t="s">
        <v>269</v>
      </c>
      <c r="C14" s="178"/>
      <c r="D14" s="194"/>
      <c r="E14" s="204"/>
      <c r="F14" s="180"/>
    </row>
    <row r="15" spans="1:6" s="199" customFormat="1" ht="16.2" thickBot="1">
      <c r="A15" s="178"/>
      <c r="B15" s="178"/>
      <c r="C15" s="178"/>
      <c r="D15" s="204"/>
      <c r="E15" s="204"/>
      <c r="F15" s="180"/>
    </row>
    <row r="16" spans="1:6" s="199" customFormat="1" ht="16.2" thickBot="1">
      <c r="A16" s="178"/>
      <c r="B16" s="200" t="s">
        <v>270</v>
      </c>
      <c r="C16" s="231" t="s">
        <v>3</v>
      </c>
      <c r="D16" s="231" t="s">
        <v>4</v>
      </c>
      <c r="E16" s="204"/>
      <c r="F16" s="180"/>
    </row>
    <row r="17" spans="1:6" s="199" customFormat="1" ht="16.2" thickBot="1">
      <c r="A17" s="178"/>
      <c r="B17" s="228" t="s">
        <v>5</v>
      </c>
      <c r="C17" s="232">
        <v>11275</v>
      </c>
      <c r="D17" s="232">
        <v>11275</v>
      </c>
      <c r="E17" s="204"/>
      <c r="F17" s="180"/>
    </row>
    <row r="18" spans="1:6" s="199" customFormat="1" ht="16.2" thickBot="1">
      <c r="A18" s="178"/>
      <c r="B18" s="228" t="s">
        <v>21</v>
      </c>
      <c r="C18" s="229">
        <v>80</v>
      </c>
      <c r="D18" s="229">
        <v>40</v>
      </c>
      <c r="E18" s="204"/>
      <c r="F18" s="180"/>
    </row>
    <row r="19" spans="1:6" s="199" customFormat="1" ht="16.2" thickBot="1">
      <c r="A19" s="178"/>
      <c r="B19" s="228" t="s">
        <v>22</v>
      </c>
      <c r="C19" s="229">
        <v>0</v>
      </c>
      <c r="D19" s="229">
        <v>36</v>
      </c>
      <c r="E19" s="204"/>
      <c r="F19" s="180"/>
    </row>
    <row r="20" spans="1:6" s="199" customFormat="1" ht="16.2" thickBot="1">
      <c r="A20" s="178"/>
      <c r="B20" s="233" t="s">
        <v>26</v>
      </c>
      <c r="C20" s="234">
        <f>SUM(C17:C19)</f>
        <v>11355</v>
      </c>
      <c r="D20" s="234">
        <f>SUM(D17:D19)</f>
        <v>11351</v>
      </c>
      <c r="E20" s="204"/>
      <c r="F20" s="180"/>
    </row>
    <row r="21" spans="1:6" s="199" customFormat="1" ht="16.2" thickBot="1">
      <c r="A21" s="178"/>
      <c r="B21" s="233"/>
      <c r="C21" s="235"/>
      <c r="D21" s="235"/>
      <c r="E21" s="204"/>
      <c r="F21" s="180"/>
    </row>
    <row r="22" spans="1:6" s="199" customFormat="1" ht="16.2" thickBot="1">
      <c r="A22" s="178"/>
      <c r="B22" s="228" t="s">
        <v>30</v>
      </c>
      <c r="C22" s="229">
        <v>0</v>
      </c>
      <c r="D22" s="229">
        <v>0</v>
      </c>
      <c r="E22" s="204"/>
      <c r="F22" s="180"/>
    </row>
    <row r="23" spans="1:6" s="199" customFormat="1" ht="16.2" thickBot="1">
      <c r="A23" s="178"/>
      <c r="B23" s="228" t="s">
        <v>271</v>
      </c>
      <c r="C23" s="229">
        <v>0</v>
      </c>
      <c r="D23" s="229">
        <v>0</v>
      </c>
      <c r="E23" s="204"/>
      <c r="F23" s="180"/>
    </row>
    <row r="24" spans="1:6" s="199" customFormat="1" ht="16.2" thickBot="1">
      <c r="A24" s="178"/>
      <c r="B24" s="228" t="s">
        <v>272</v>
      </c>
      <c r="C24" s="229">
        <v>450</v>
      </c>
      <c r="D24" s="232">
        <v>4050</v>
      </c>
      <c r="E24" s="204"/>
      <c r="F24" s="180"/>
    </row>
    <row r="25" spans="1:6" s="199" customFormat="1" ht="16.2" thickBot="1">
      <c r="A25" s="178"/>
      <c r="B25" s="233" t="s">
        <v>33</v>
      </c>
      <c r="C25" s="235">
        <f>SUM(C22:C24)</f>
        <v>450</v>
      </c>
      <c r="D25" s="235">
        <f>SUM(D22:D24)</f>
        <v>4050</v>
      </c>
      <c r="E25" s="204"/>
      <c r="F25" s="180"/>
    </row>
    <row r="26" spans="1:6" s="199" customFormat="1" ht="16.2" thickBot="1">
      <c r="A26" s="178"/>
      <c r="B26" s="228"/>
      <c r="C26" s="229"/>
      <c r="D26" s="229"/>
      <c r="E26" s="204"/>
      <c r="F26" s="180"/>
    </row>
    <row r="27" spans="1:6" s="199" customFormat="1" ht="16.2" thickBot="1">
      <c r="A27" s="178"/>
      <c r="B27" s="228" t="s">
        <v>7</v>
      </c>
      <c r="C27" s="232">
        <v>10147.5</v>
      </c>
      <c r="D27" s="232">
        <v>1127.5</v>
      </c>
      <c r="E27" s="204"/>
      <c r="F27" s="180"/>
    </row>
    <row r="28" spans="1:6" s="199" customFormat="1" ht="16.2" thickBot="1">
      <c r="A28" s="178"/>
      <c r="B28" s="228" t="s">
        <v>273</v>
      </c>
      <c r="C28" s="232">
        <v>1000</v>
      </c>
      <c r="D28" s="229">
        <v>0</v>
      </c>
      <c r="E28" s="204"/>
      <c r="F28" s="180"/>
    </row>
    <row r="29" spans="1:6" s="199" customFormat="1" ht="16.2" thickBot="1">
      <c r="A29" s="178"/>
      <c r="B29" s="228" t="s">
        <v>274</v>
      </c>
      <c r="C29" s="229">
        <v>30</v>
      </c>
      <c r="D29" s="229">
        <v>30</v>
      </c>
      <c r="E29" s="204"/>
      <c r="F29" s="180"/>
    </row>
    <row r="30" spans="1:6" s="199" customFormat="1" ht="16.2" thickBot="1">
      <c r="A30" s="178"/>
      <c r="B30" s="228" t="s">
        <v>275</v>
      </c>
      <c r="C30" s="236">
        <v>225.5</v>
      </c>
      <c r="D30" s="236">
        <v>225.5</v>
      </c>
      <c r="E30" s="204"/>
      <c r="F30" s="180"/>
    </row>
    <row r="31" spans="1:6" s="199" customFormat="1" ht="16.2" thickBot="1">
      <c r="A31" s="178"/>
      <c r="B31" s="233" t="s">
        <v>34</v>
      </c>
      <c r="C31" s="234">
        <f>SUM(C27:C30)</f>
        <v>11403</v>
      </c>
      <c r="D31" s="234">
        <f>SUM(D27:D30)</f>
        <v>1383</v>
      </c>
      <c r="E31" s="204"/>
      <c r="F31" s="180"/>
    </row>
    <row r="32" spans="1:6" s="199" customFormat="1" ht="16.2" thickBot="1">
      <c r="A32" s="178"/>
      <c r="B32" s="228"/>
      <c r="C32" s="229"/>
      <c r="D32" s="229"/>
      <c r="E32" s="204"/>
      <c r="F32" s="180"/>
    </row>
    <row r="33" spans="1:6" s="199" customFormat="1" ht="16.2" thickBot="1">
      <c r="A33" s="178"/>
      <c r="B33" s="233" t="s">
        <v>15</v>
      </c>
      <c r="C33" s="234">
        <f>C20-C25-C31</f>
        <v>-498</v>
      </c>
      <c r="D33" s="234">
        <f>D20-D25-D31</f>
        <v>5918</v>
      </c>
      <c r="E33" s="204"/>
      <c r="F33" s="180"/>
    </row>
    <row r="34" spans="1:6" s="199" customFormat="1" ht="15.6">
      <c r="A34" s="178"/>
      <c r="B34" s="178"/>
      <c r="C34" s="178"/>
      <c r="D34" s="204"/>
      <c r="E34" s="204"/>
      <c r="F34" s="180"/>
    </row>
    <row r="35" spans="1:6" s="199" customFormat="1" ht="15.6">
      <c r="A35" s="178"/>
      <c r="B35" s="178" t="s">
        <v>276</v>
      </c>
      <c r="C35" s="178"/>
      <c r="D35" s="204"/>
      <c r="E35" s="204"/>
      <c r="F35" s="180"/>
    </row>
    <row r="36" spans="1:6" s="199" customFormat="1" ht="15.6">
      <c r="A36" s="178"/>
      <c r="B36" s="178"/>
      <c r="C36" s="178"/>
      <c r="D36" s="204"/>
      <c r="E36" s="204"/>
      <c r="F36" s="180"/>
    </row>
    <row r="37" spans="1:6" s="199" customFormat="1" ht="15.6">
      <c r="A37" s="178"/>
      <c r="B37" s="230" t="s">
        <v>277</v>
      </c>
      <c r="C37" s="230"/>
      <c r="D37" s="204"/>
      <c r="E37" s="204"/>
      <c r="F37" s="180"/>
    </row>
    <row r="38" spans="1:6" s="199" customFormat="1" ht="15.6">
      <c r="A38" s="178"/>
      <c r="B38" s="230" t="s">
        <v>278</v>
      </c>
      <c r="C38" s="230"/>
      <c r="D38" s="204"/>
      <c r="E38" s="204"/>
      <c r="F38" s="180"/>
    </row>
    <row r="39" spans="1:6" s="199" customFormat="1" ht="15.6">
      <c r="A39" s="178"/>
      <c r="B39" s="204"/>
      <c r="C39" s="204"/>
      <c r="D39" s="204"/>
      <c r="E39" s="204"/>
      <c r="F39" s="180"/>
    </row>
    <row r="40" spans="1:6" s="199" customFormat="1" ht="15.6">
      <c r="A40" s="178"/>
      <c r="B40" s="204" t="s">
        <v>269</v>
      </c>
      <c r="C40" s="204"/>
      <c r="D40" s="204"/>
      <c r="E40" s="204"/>
      <c r="F40" s="180"/>
    </row>
    <row r="41" spans="1:6" s="199" customFormat="1" ht="15.6">
      <c r="A41" s="178"/>
      <c r="B41" s="204"/>
      <c r="C41" s="204"/>
      <c r="D41" s="204"/>
      <c r="E41" s="204"/>
      <c r="F41" s="180"/>
    </row>
    <row r="42" spans="1:6" s="199" customFormat="1" ht="15.6">
      <c r="A42" s="178"/>
      <c r="B42" s="230" t="s">
        <v>279</v>
      </c>
      <c r="C42" s="204"/>
      <c r="D42" s="204"/>
      <c r="E42" s="204"/>
      <c r="F42" s="180"/>
    </row>
    <row r="43" spans="1:6" s="199" customFormat="1" ht="15.6">
      <c r="A43" s="178"/>
      <c r="B43" s="230" t="s">
        <v>280</v>
      </c>
      <c r="C43" s="204"/>
      <c r="D43" s="204"/>
      <c r="E43" s="204"/>
      <c r="F43" s="180"/>
    </row>
    <row r="44" spans="1:6" s="199" customFormat="1" ht="15.6">
      <c r="A44" s="178"/>
      <c r="B44" s="230" t="s">
        <v>281</v>
      </c>
      <c r="C44" s="204"/>
      <c r="D44" s="204"/>
      <c r="E44" s="204"/>
      <c r="F44" s="180"/>
    </row>
    <row r="45" spans="1:6" s="199" customFormat="1" ht="15.6">
      <c r="A45" s="178"/>
      <c r="B45" s="230" t="s">
        <v>282</v>
      </c>
      <c r="C45" s="204"/>
      <c r="D45" s="204"/>
      <c r="E45" s="204"/>
      <c r="F45" s="180"/>
    </row>
    <row r="46" spans="1:6" s="199" customFormat="1" ht="15.6">
      <c r="A46" s="178"/>
      <c r="B46" s="230" t="s">
        <v>283</v>
      </c>
      <c r="C46" s="204"/>
      <c r="D46" s="204"/>
      <c r="E46" s="204"/>
      <c r="F46" s="180"/>
    </row>
    <row r="47" spans="1:6" s="199" customFormat="1" ht="16.2" thickBot="1">
      <c r="A47" s="178"/>
      <c r="B47" s="204"/>
      <c r="C47" s="204"/>
      <c r="D47" s="204"/>
      <c r="E47" s="204"/>
      <c r="F47" s="180"/>
    </row>
    <row r="48" spans="1:6" s="199" customFormat="1" ht="16.2" thickBot="1">
      <c r="A48" s="178"/>
      <c r="B48" s="226"/>
      <c r="C48" s="231" t="s">
        <v>3</v>
      </c>
      <c r="D48" s="231" t="s">
        <v>4</v>
      </c>
      <c r="E48" s="204"/>
      <c r="F48" s="180"/>
    </row>
    <row r="49" spans="1:6" s="199" customFormat="1" ht="16.2" thickBot="1">
      <c r="A49" s="178"/>
      <c r="B49" s="228" t="s">
        <v>284</v>
      </c>
      <c r="C49" s="229">
        <v>0.6</v>
      </c>
      <c r="D49" s="229">
        <v>6</v>
      </c>
      <c r="E49" s="204"/>
      <c r="F49" s="180"/>
    </row>
    <row r="50" spans="1:6" s="199" customFormat="1" ht="16.2" thickBot="1">
      <c r="A50" s="178"/>
      <c r="B50" s="228" t="s">
        <v>285</v>
      </c>
      <c r="C50" s="229">
        <v>0.7</v>
      </c>
      <c r="D50" s="229">
        <v>0.9</v>
      </c>
      <c r="E50" s="204"/>
      <c r="F50" s="180"/>
    </row>
    <row r="51" spans="1:6" s="199" customFormat="1" ht="16.2" thickBot="1">
      <c r="A51" s="178"/>
      <c r="B51" s="228" t="s">
        <v>286</v>
      </c>
      <c r="C51" s="229">
        <v>0.65</v>
      </c>
      <c r="D51" s="229">
        <v>0.8</v>
      </c>
      <c r="E51" s="204"/>
      <c r="F51" s="180"/>
    </row>
    <row r="52" spans="1:6" s="199" customFormat="1" ht="15.6">
      <c r="A52" s="178"/>
      <c r="B52" s="204"/>
      <c r="C52" s="204"/>
      <c r="D52" s="204"/>
      <c r="E52" s="204"/>
      <c r="F52" s="180"/>
    </row>
    <row r="53" spans="1:6" s="199" customFormat="1" ht="15.6">
      <c r="A53" s="178" t="s">
        <v>287</v>
      </c>
      <c r="B53" s="204"/>
      <c r="C53" s="204"/>
      <c r="D53" s="204"/>
      <c r="E53" s="204"/>
      <c r="F53" s="180"/>
    </row>
    <row r="54" spans="1:6" s="199" customFormat="1" ht="15.6">
      <c r="A54" s="178"/>
      <c r="B54" s="204"/>
      <c r="C54" s="204"/>
      <c r="D54" s="204"/>
      <c r="E54" s="204"/>
      <c r="F54" s="180"/>
    </row>
    <row r="55" spans="1:6" s="199" customFormat="1" ht="15.6">
      <c r="A55" s="178"/>
      <c r="B55" s="204" t="s">
        <v>288</v>
      </c>
      <c r="C55" s="204"/>
      <c r="D55" s="204"/>
      <c r="E55" s="204"/>
      <c r="F55" s="180"/>
    </row>
    <row r="56" spans="1:6" s="199" customFormat="1" ht="15.6">
      <c r="A56" s="178"/>
      <c r="B56" s="204" t="s">
        <v>289</v>
      </c>
      <c r="C56" s="204"/>
      <c r="D56" s="204"/>
      <c r="E56" s="204"/>
      <c r="F56" s="180"/>
    </row>
    <row r="57" spans="1:6" s="199" customFormat="1" ht="15.6">
      <c r="A57" s="178"/>
      <c r="B57" s="204"/>
      <c r="C57" s="204"/>
      <c r="D57" s="204"/>
      <c r="E57" s="204"/>
      <c r="F57" s="180"/>
    </row>
    <row r="58" spans="1:6" s="199" customFormat="1" ht="15.6">
      <c r="A58" s="178"/>
      <c r="B58" s="204" t="s">
        <v>290</v>
      </c>
      <c r="C58" s="204"/>
      <c r="D58" s="204"/>
      <c r="E58" s="204"/>
      <c r="F58" s="180"/>
    </row>
    <row r="59" spans="1:6" s="199" customFormat="1" ht="15.6">
      <c r="A59" s="178"/>
      <c r="B59" s="204" t="s">
        <v>291</v>
      </c>
      <c r="C59" s="204"/>
      <c r="D59" s="204"/>
      <c r="E59" s="204"/>
      <c r="F59" s="180"/>
    </row>
    <row r="60" spans="1:6" s="199" customFormat="1" ht="15.6">
      <c r="A60" s="178"/>
      <c r="B60" s="204"/>
      <c r="C60" s="204"/>
      <c r="D60" s="204"/>
      <c r="E60" s="204"/>
      <c r="F60" s="180"/>
    </row>
    <row r="62" spans="1:6" ht="15.6">
      <c r="A62" s="195" t="s">
        <v>52</v>
      </c>
    </row>
    <row r="63" spans="1:6">
      <c r="B63" s="212"/>
    </row>
    <row r="64" spans="1:6">
      <c r="A64" s="198" t="s">
        <v>294</v>
      </c>
      <c r="B64" s="212" t="s">
        <v>177</v>
      </c>
    </row>
    <row r="65" spans="2:2">
      <c r="B65" s="212"/>
    </row>
    <row r="66" spans="2:2">
      <c r="B66" s="212"/>
    </row>
    <row r="67" spans="2:2">
      <c r="B67" s="212"/>
    </row>
    <row r="68" spans="2:2">
      <c r="B68" s="212"/>
    </row>
    <row r="69" spans="2:2">
      <c r="B69" s="212"/>
    </row>
    <row r="70" spans="2:2">
      <c r="B70" s="212"/>
    </row>
    <row r="71" spans="2:2">
      <c r="B71" s="212"/>
    </row>
    <row r="72" spans="2:2">
      <c r="B72" s="212"/>
    </row>
    <row r="73" spans="2:2">
      <c r="B73" s="212"/>
    </row>
    <row r="74" spans="2:2">
      <c r="B74" s="212"/>
    </row>
    <row r="75" spans="2:2">
      <c r="B75" s="212"/>
    </row>
    <row r="76" spans="2:2">
      <c r="B76" s="212"/>
    </row>
    <row r="77" spans="2:2">
      <c r="B77" s="212"/>
    </row>
    <row r="78" spans="2:2">
      <c r="B78" s="212"/>
    </row>
    <row r="79" spans="2:2">
      <c r="B79" s="213"/>
    </row>
    <row r="80" spans="2:2" ht="14.4" thickBot="1">
      <c r="B80" s="244" t="s">
        <v>304</v>
      </c>
    </row>
    <row r="81" spans="1:3" ht="14.4" thickBot="1">
      <c r="C81" s="247"/>
    </row>
    <row r="83" spans="1:3">
      <c r="A83" s="198" t="s">
        <v>305</v>
      </c>
      <c r="B83" s="212" t="s">
        <v>177</v>
      </c>
    </row>
    <row r="96" spans="1:3" ht="14.4" thickBot="1">
      <c r="B96" s="239" t="s">
        <v>312</v>
      </c>
    </row>
    <row r="97" spans="1:7" ht="14.4" thickBot="1">
      <c r="C97" s="247"/>
    </row>
    <row r="99" spans="1:7" ht="15.6">
      <c r="A99" s="197" t="s">
        <v>314</v>
      </c>
      <c r="B99" s="177"/>
      <c r="C99" s="177"/>
      <c r="D99" s="177"/>
      <c r="E99" s="177"/>
      <c r="F99" s="177"/>
      <c r="G99" s="177"/>
    </row>
    <row r="100" spans="1:7" ht="15.6">
      <c r="A100" s="197" t="s">
        <v>315</v>
      </c>
      <c r="B100" s="177"/>
      <c r="C100" s="177"/>
      <c r="D100" s="177"/>
      <c r="E100" s="177"/>
      <c r="F100" s="177"/>
      <c r="G100" s="177"/>
    </row>
  </sheetData>
  <pageMargins left="0.7" right="0.7" top="0.75" bottom="0.75" header="0.3" footer="0.3"/>
  <pageSetup orientation="portrait" horizontalDpi="90" verticalDpi="9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65B54-DE28-4795-88C7-256EA76F4D6A}">
  <dimension ref="A1:G128"/>
  <sheetViews>
    <sheetView topLeftCell="A92" workbookViewId="0">
      <selection activeCell="E84" sqref="E84"/>
    </sheetView>
  </sheetViews>
  <sheetFormatPr defaultColWidth="9.21875" defaultRowHeight="13.8"/>
  <cols>
    <col min="1" max="1" width="9.21875" style="198"/>
    <col min="2" max="2" width="54.5546875" style="198" customWidth="1"/>
    <col min="3" max="4" width="15.21875" style="198" customWidth="1"/>
    <col min="5" max="5" width="21.77734375" style="198" customWidth="1"/>
    <col min="6" max="6" width="23.44140625" style="198" customWidth="1"/>
    <col min="7" max="16384" width="9.21875" style="198"/>
  </cols>
  <sheetData>
    <row r="1" spans="1:6" ht="17.399999999999999">
      <c r="A1" s="176" t="s">
        <v>261</v>
      </c>
      <c r="B1" s="194"/>
      <c r="C1" s="194"/>
      <c r="D1" s="194"/>
      <c r="E1" s="194"/>
      <c r="F1" s="194"/>
    </row>
    <row r="2" spans="1:6" ht="17.399999999999999">
      <c r="A2" s="176"/>
      <c r="B2" s="194"/>
      <c r="C2" s="194"/>
      <c r="D2" s="194"/>
      <c r="E2" s="194"/>
      <c r="F2" s="194"/>
    </row>
    <row r="3" spans="1:6" ht="15.6">
      <c r="A3" s="178"/>
      <c r="B3" s="178" t="s">
        <v>262</v>
      </c>
      <c r="C3" s="194"/>
      <c r="D3" s="194"/>
      <c r="E3" s="194"/>
      <c r="F3" s="194"/>
    </row>
    <row r="4" spans="1:6" s="199" customFormat="1" ht="16.2" thickBot="1">
      <c r="A4" s="178"/>
      <c r="B4" s="180"/>
      <c r="C4" s="180"/>
      <c r="D4" s="194"/>
      <c r="E4" s="180"/>
      <c r="F4" s="180"/>
    </row>
    <row r="5" spans="1:6" s="195" customFormat="1" ht="16.5" customHeight="1" thickBot="1">
      <c r="A5" s="178"/>
      <c r="B5" s="226" t="s">
        <v>263</v>
      </c>
      <c r="C5" s="227">
        <v>750000</v>
      </c>
      <c r="D5" s="194"/>
      <c r="E5" s="178"/>
      <c r="F5" s="178"/>
    </row>
    <row r="6" spans="1:6" s="195" customFormat="1" ht="16.2" thickBot="1">
      <c r="A6" s="178"/>
      <c r="B6" s="228" t="s">
        <v>264</v>
      </c>
      <c r="C6" s="229">
        <v>15</v>
      </c>
      <c r="D6" s="194"/>
      <c r="E6" s="178"/>
      <c r="F6" s="178"/>
    </row>
    <row r="7" spans="1:6" s="195" customFormat="1" ht="16.2" thickBot="1">
      <c r="A7" s="178"/>
      <c r="B7" s="228" t="s">
        <v>265</v>
      </c>
      <c r="C7" s="229">
        <v>25</v>
      </c>
      <c r="D7" s="194"/>
      <c r="E7" s="178"/>
      <c r="F7" s="178"/>
    </row>
    <row r="8" spans="1:6" s="195" customFormat="1" ht="15.6">
      <c r="A8" s="178"/>
      <c r="B8" s="194"/>
      <c r="C8" s="194"/>
      <c r="D8" s="194"/>
      <c r="E8" s="178"/>
      <c r="F8" s="178"/>
    </row>
    <row r="9" spans="1:6" s="195" customFormat="1" ht="15.6">
      <c r="A9" s="178"/>
      <c r="B9" s="194" t="s">
        <v>61</v>
      </c>
      <c r="C9" s="194"/>
      <c r="D9" s="194"/>
      <c r="E9" s="178"/>
      <c r="F9" s="178"/>
    </row>
    <row r="10" spans="1:6" s="199" customFormat="1" ht="15.6">
      <c r="A10" s="178"/>
      <c r="B10" s="230" t="s">
        <v>266</v>
      </c>
      <c r="C10" s="178"/>
      <c r="D10" s="194"/>
      <c r="E10" s="178"/>
      <c r="F10" s="178"/>
    </row>
    <row r="11" spans="1:6" s="199" customFormat="1" ht="15.6">
      <c r="A11" s="178"/>
      <c r="B11" s="230" t="s">
        <v>267</v>
      </c>
      <c r="C11" s="178"/>
      <c r="D11" s="194"/>
      <c r="E11" s="204"/>
      <c r="F11" s="180"/>
    </row>
    <row r="12" spans="1:6" s="199" customFormat="1" ht="15.6">
      <c r="A12" s="178"/>
      <c r="B12" s="230" t="s">
        <v>268</v>
      </c>
      <c r="C12" s="178"/>
      <c r="D12" s="194"/>
      <c r="E12" s="204"/>
      <c r="F12" s="180"/>
    </row>
    <row r="13" spans="1:6" s="199" customFormat="1" ht="15.6">
      <c r="A13" s="178"/>
      <c r="B13" s="205"/>
      <c r="C13" s="178"/>
      <c r="D13" s="194"/>
      <c r="E13" s="204"/>
      <c r="F13" s="180"/>
    </row>
    <row r="14" spans="1:6" s="199" customFormat="1" ht="15.6">
      <c r="A14" s="178"/>
      <c r="B14" s="178" t="s">
        <v>269</v>
      </c>
      <c r="C14" s="178"/>
      <c r="D14" s="194"/>
      <c r="E14" s="204"/>
      <c r="F14" s="180"/>
    </row>
    <row r="15" spans="1:6" s="199" customFormat="1" ht="16.2" thickBot="1">
      <c r="A15" s="178"/>
      <c r="B15" s="178"/>
      <c r="C15" s="178"/>
      <c r="D15" s="204"/>
      <c r="E15" s="204"/>
      <c r="F15" s="180"/>
    </row>
    <row r="16" spans="1:6" s="199" customFormat="1" ht="16.2" thickBot="1">
      <c r="A16" s="178"/>
      <c r="B16" s="200" t="s">
        <v>270</v>
      </c>
      <c r="C16" s="231" t="s">
        <v>3</v>
      </c>
      <c r="D16" s="231" t="s">
        <v>4</v>
      </c>
      <c r="E16" s="204"/>
      <c r="F16" s="180"/>
    </row>
    <row r="17" spans="1:6" s="199" customFormat="1" ht="16.2" thickBot="1">
      <c r="A17" s="178"/>
      <c r="B17" s="228" t="s">
        <v>5</v>
      </c>
      <c r="C17" s="232">
        <v>11275</v>
      </c>
      <c r="D17" s="232">
        <v>11275</v>
      </c>
      <c r="E17" s="204"/>
      <c r="F17" s="180"/>
    </row>
    <row r="18" spans="1:6" s="199" customFormat="1" ht="16.2" thickBot="1">
      <c r="A18" s="178"/>
      <c r="B18" s="228" t="s">
        <v>21</v>
      </c>
      <c r="C18" s="229">
        <v>80</v>
      </c>
      <c r="D18" s="229">
        <v>40</v>
      </c>
      <c r="E18" s="204"/>
      <c r="F18" s="180"/>
    </row>
    <row r="19" spans="1:6" s="199" customFormat="1" ht="16.2" thickBot="1">
      <c r="A19" s="178"/>
      <c r="B19" s="228" t="s">
        <v>22</v>
      </c>
      <c r="C19" s="229">
        <v>0</v>
      </c>
      <c r="D19" s="229">
        <v>36</v>
      </c>
      <c r="E19" s="204"/>
      <c r="F19" s="180"/>
    </row>
    <row r="20" spans="1:6" s="199" customFormat="1" ht="16.2" thickBot="1">
      <c r="A20" s="178"/>
      <c r="B20" s="233" t="s">
        <v>26</v>
      </c>
      <c r="C20" s="234">
        <f>SUM(C17:C19)</f>
        <v>11355</v>
      </c>
      <c r="D20" s="234">
        <f>SUM(D17:D19)</f>
        <v>11351</v>
      </c>
      <c r="E20" s="204"/>
      <c r="F20" s="180"/>
    </row>
    <row r="21" spans="1:6" s="199" customFormat="1" ht="16.2" thickBot="1">
      <c r="A21" s="178"/>
      <c r="B21" s="233"/>
      <c r="C21" s="235"/>
      <c r="D21" s="235"/>
      <c r="E21" s="204"/>
      <c r="F21" s="180"/>
    </row>
    <row r="22" spans="1:6" s="199" customFormat="1" ht="16.2" thickBot="1">
      <c r="A22" s="178"/>
      <c r="B22" s="228" t="s">
        <v>30</v>
      </c>
      <c r="C22" s="229">
        <v>0</v>
      </c>
      <c r="D22" s="229">
        <v>0</v>
      </c>
      <c r="E22" s="204"/>
      <c r="F22" s="180"/>
    </row>
    <row r="23" spans="1:6" s="199" customFormat="1" ht="16.2" thickBot="1">
      <c r="A23" s="178"/>
      <c r="B23" s="228" t="s">
        <v>271</v>
      </c>
      <c r="C23" s="229">
        <v>0</v>
      </c>
      <c r="D23" s="229">
        <v>0</v>
      </c>
      <c r="E23" s="204"/>
      <c r="F23" s="180"/>
    </row>
    <row r="24" spans="1:6" s="199" customFormat="1" ht="16.2" thickBot="1">
      <c r="A24" s="178"/>
      <c r="B24" s="228" t="s">
        <v>272</v>
      </c>
      <c r="C24" s="229">
        <v>450</v>
      </c>
      <c r="D24" s="232">
        <v>4050</v>
      </c>
      <c r="E24" s="204"/>
      <c r="F24" s="180"/>
    </row>
    <row r="25" spans="1:6" s="199" customFormat="1" ht="16.2" thickBot="1">
      <c r="A25" s="178"/>
      <c r="B25" s="233" t="s">
        <v>33</v>
      </c>
      <c r="C25" s="235">
        <f>SUM(C22:C24)</f>
        <v>450</v>
      </c>
      <c r="D25" s="235">
        <f>SUM(D22:D24)</f>
        <v>4050</v>
      </c>
      <c r="E25" s="204"/>
      <c r="F25" s="180"/>
    </row>
    <row r="26" spans="1:6" s="199" customFormat="1" ht="16.2" thickBot="1">
      <c r="A26" s="178"/>
      <c r="B26" s="228"/>
      <c r="C26" s="229"/>
      <c r="D26" s="229"/>
      <c r="E26" s="204"/>
      <c r="F26" s="180"/>
    </row>
    <row r="27" spans="1:6" s="199" customFormat="1" ht="16.2" thickBot="1">
      <c r="A27" s="178"/>
      <c r="B27" s="228" t="s">
        <v>7</v>
      </c>
      <c r="C27" s="232">
        <v>10147.5</v>
      </c>
      <c r="D27" s="232">
        <v>1127.5</v>
      </c>
      <c r="E27" s="204"/>
      <c r="F27" s="180"/>
    </row>
    <row r="28" spans="1:6" s="199" customFormat="1" ht="16.2" thickBot="1">
      <c r="A28" s="178"/>
      <c r="B28" s="228" t="s">
        <v>273</v>
      </c>
      <c r="C28" s="232">
        <v>1000</v>
      </c>
      <c r="D28" s="229">
        <v>0</v>
      </c>
      <c r="E28" s="204"/>
      <c r="F28" s="180"/>
    </row>
    <row r="29" spans="1:6" s="199" customFormat="1" ht="16.2" thickBot="1">
      <c r="A29" s="178"/>
      <c r="B29" s="228" t="s">
        <v>274</v>
      </c>
      <c r="C29" s="229">
        <v>30</v>
      </c>
      <c r="D29" s="229">
        <v>30</v>
      </c>
      <c r="E29" s="204"/>
      <c r="F29" s="180"/>
    </row>
    <row r="30" spans="1:6" s="199" customFormat="1" ht="16.2" thickBot="1">
      <c r="A30" s="178"/>
      <c r="B30" s="228" t="s">
        <v>275</v>
      </c>
      <c r="C30" s="236">
        <v>225.5</v>
      </c>
      <c r="D30" s="236">
        <v>225.5</v>
      </c>
      <c r="E30" s="204"/>
      <c r="F30" s="180"/>
    </row>
    <row r="31" spans="1:6" s="199" customFormat="1" ht="16.2" thickBot="1">
      <c r="A31" s="178"/>
      <c r="B31" s="233" t="s">
        <v>34</v>
      </c>
      <c r="C31" s="234">
        <f>SUM(C27:C30)</f>
        <v>11403</v>
      </c>
      <c r="D31" s="234">
        <f>SUM(D27:D30)</f>
        <v>1383</v>
      </c>
      <c r="E31" s="204"/>
      <c r="F31" s="180"/>
    </row>
    <row r="32" spans="1:6" s="199" customFormat="1" ht="16.2" thickBot="1">
      <c r="A32" s="178"/>
      <c r="B32" s="228"/>
      <c r="C32" s="229"/>
      <c r="D32" s="229"/>
      <c r="E32" s="204"/>
      <c r="F32" s="180"/>
    </row>
    <row r="33" spans="1:6" s="199" customFormat="1" ht="16.2" thickBot="1">
      <c r="A33" s="178"/>
      <c r="B33" s="233" t="s">
        <v>15</v>
      </c>
      <c r="C33" s="234">
        <f>C20-C25-C31</f>
        <v>-498</v>
      </c>
      <c r="D33" s="234">
        <f>D20-D25-D31</f>
        <v>5918</v>
      </c>
      <c r="E33" s="204"/>
      <c r="F33" s="180"/>
    </row>
    <row r="34" spans="1:6" s="199" customFormat="1" ht="15.6">
      <c r="A34" s="178"/>
      <c r="B34" s="178"/>
      <c r="C34" s="178"/>
      <c r="D34" s="204"/>
      <c r="E34" s="204"/>
      <c r="F34" s="180"/>
    </row>
    <row r="35" spans="1:6" s="199" customFormat="1" ht="15.6">
      <c r="A35" s="178"/>
      <c r="B35" s="178" t="s">
        <v>276</v>
      </c>
      <c r="C35" s="178"/>
      <c r="D35" s="204"/>
      <c r="E35" s="204"/>
      <c r="F35" s="180"/>
    </row>
    <row r="36" spans="1:6" s="199" customFormat="1" ht="15.6">
      <c r="A36" s="178"/>
      <c r="B36" s="178"/>
      <c r="C36" s="178"/>
      <c r="D36" s="204"/>
      <c r="E36" s="204"/>
      <c r="F36" s="180"/>
    </row>
    <row r="37" spans="1:6" s="199" customFormat="1" ht="15.6">
      <c r="A37" s="178"/>
      <c r="B37" s="230" t="s">
        <v>277</v>
      </c>
      <c r="C37" s="230"/>
      <c r="D37" s="204"/>
      <c r="E37" s="204"/>
      <c r="F37" s="180"/>
    </row>
    <row r="38" spans="1:6" s="199" customFormat="1" ht="15.6">
      <c r="A38" s="178"/>
      <c r="B38" s="230" t="s">
        <v>278</v>
      </c>
      <c r="C38" s="230"/>
      <c r="D38" s="204"/>
      <c r="E38" s="204"/>
      <c r="F38" s="180"/>
    </row>
    <row r="39" spans="1:6" s="199" customFormat="1" ht="15.6">
      <c r="A39" s="178"/>
      <c r="B39" s="204"/>
      <c r="C39" s="204"/>
      <c r="D39" s="204"/>
      <c r="E39" s="204"/>
      <c r="F39" s="180"/>
    </row>
    <row r="40" spans="1:6" s="199" customFormat="1" ht="15.6">
      <c r="A40" s="178"/>
      <c r="B40" s="204" t="s">
        <v>269</v>
      </c>
      <c r="C40" s="204"/>
      <c r="D40" s="204"/>
      <c r="E40" s="204"/>
      <c r="F40" s="180"/>
    </row>
    <row r="41" spans="1:6" s="199" customFormat="1" ht="15.6">
      <c r="A41" s="178"/>
      <c r="B41" s="204"/>
      <c r="C41" s="204"/>
      <c r="D41" s="204"/>
      <c r="E41" s="204"/>
      <c r="F41" s="180"/>
    </row>
    <row r="42" spans="1:6" s="199" customFormat="1" ht="15.6">
      <c r="A42" s="178"/>
      <c r="B42" s="230" t="s">
        <v>279</v>
      </c>
      <c r="C42" s="204"/>
      <c r="D42" s="204"/>
      <c r="E42" s="204"/>
      <c r="F42" s="180"/>
    </row>
    <row r="43" spans="1:6" s="199" customFormat="1" ht="15.6">
      <c r="A43" s="178"/>
      <c r="B43" s="230" t="s">
        <v>280</v>
      </c>
      <c r="C43" s="204"/>
      <c r="D43" s="204"/>
      <c r="E43" s="204"/>
      <c r="F43" s="180"/>
    </row>
    <row r="44" spans="1:6" s="199" customFormat="1" ht="15.6">
      <c r="A44" s="178"/>
      <c r="B44" s="230" t="s">
        <v>281</v>
      </c>
      <c r="C44" s="204"/>
      <c r="D44" s="204"/>
      <c r="E44" s="204"/>
      <c r="F44" s="180"/>
    </row>
    <row r="45" spans="1:6" s="199" customFormat="1" ht="15.6">
      <c r="A45" s="178"/>
      <c r="B45" s="230" t="s">
        <v>282</v>
      </c>
      <c r="C45" s="204"/>
      <c r="D45" s="204"/>
      <c r="E45" s="204"/>
      <c r="F45" s="180"/>
    </row>
    <row r="46" spans="1:6" s="199" customFormat="1" ht="15.6">
      <c r="A46" s="178"/>
      <c r="B46" s="230" t="s">
        <v>283</v>
      </c>
      <c r="C46" s="204"/>
      <c r="D46" s="204"/>
      <c r="E46" s="204"/>
      <c r="F46" s="180"/>
    </row>
    <row r="47" spans="1:6" s="199" customFormat="1" ht="16.2" thickBot="1">
      <c r="A47" s="178"/>
      <c r="B47" s="204"/>
      <c r="C47" s="204"/>
      <c r="D47" s="204"/>
      <c r="E47" s="204"/>
      <c r="F47" s="180"/>
    </row>
    <row r="48" spans="1:6" s="199" customFormat="1" ht="16.2" thickBot="1">
      <c r="A48" s="178"/>
      <c r="B48" s="226"/>
      <c r="C48" s="231" t="s">
        <v>3</v>
      </c>
      <c r="D48" s="231" t="s">
        <v>4</v>
      </c>
      <c r="E48" s="204"/>
      <c r="F48" s="180"/>
    </row>
    <row r="49" spans="1:6" s="199" customFormat="1" ht="16.2" thickBot="1">
      <c r="A49" s="178"/>
      <c r="B49" s="228" t="s">
        <v>284</v>
      </c>
      <c r="C49" s="229">
        <v>0.6</v>
      </c>
      <c r="D49" s="229">
        <v>6</v>
      </c>
      <c r="E49" s="204"/>
      <c r="F49" s="180"/>
    </row>
    <row r="50" spans="1:6" s="199" customFormat="1" ht="16.2" thickBot="1">
      <c r="A50" s="178"/>
      <c r="B50" s="228" t="s">
        <v>285</v>
      </c>
      <c r="C50" s="229">
        <v>0.7</v>
      </c>
      <c r="D50" s="229">
        <v>0.9</v>
      </c>
      <c r="E50" s="204"/>
      <c r="F50" s="180"/>
    </row>
    <row r="51" spans="1:6" s="199" customFormat="1" ht="16.2" thickBot="1">
      <c r="A51" s="178"/>
      <c r="B51" s="228" t="s">
        <v>286</v>
      </c>
      <c r="C51" s="229">
        <v>0.65</v>
      </c>
      <c r="D51" s="229">
        <v>0.8</v>
      </c>
      <c r="E51" s="204"/>
      <c r="F51" s="180"/>
    </row>
    <row r="52" spans="1:6" s="199" customFormat="1" ht="15.6">
      <c r="A52" s="178"/>
      <c r="B52" s="204"/>
      <c r="C52" s="204"/>
      <c r="D52" s="204"/>
      <c r="E52" s="204"/>
      <c r="F52" s="180"/>
    </row>
    <row r="53" spans="1:6" s="199" customFormat="1" ht="15.6">
      <c r="A53" s="178" t="s">
        <v>287</v>
      </c>
      <c r="B53" s="204"/>
      <c r="C53" s="204"/>
      <c r="D53" s="204"/>
      <c r="E53" s="204"/>
      <c r="F53" s="180"/>
    </row>
    <row r="54" spans="1:6" s="199" customFormat="1" ht="15.6">
      <c r="A54" s="178"/>
      <c r="B54" s="204"/>
      <c r="C54" s="204"/>
      <c r="D54" s="204"/>
      <c r="E54" s="204"/>
      <c r="F54" s="180"/>
    </row>
    <row r="55" spans="1:6" s="199" customFormat="1" ht="15.6">
      <c r="A55" s="178"/>
      <c r="B55" s="204" t="s">
        <v>288</v>
      </c>
      <c r="C55" s="204"/>
      <c r="D55" s="204"/>
      <c r="E55" s="204"/>
      <c r="F55" s="180"/>
    </row>
    <row r="56" spans="1:6" s="199" customFormat="1" ht="15.6">
      <c r="A56" s="178"/>
      <c r="B56" s="204" t="s">
        <v>289</v>
      </c>
      <c r="C56" s="204"/>
      <c r="D56" s="204"/>
      <c r="E56" s="204"/>
      <c r="F56" s="180"/>
    </row>
    <row r="57" spans="1:6" s="199" customFormat="1" ht="15.6">
      <c r="A57" s="178"/>
      <c r="B57" s="204"/>
      <c r="C57" s="204"/>
      <c r="D57" s="204"/>
      <c r="E57" s="204"/>
      <c r="F57" s="180"/>
    </row>
    <row r="58" spans="1:6" s="199" customFormat="1" ht="15.6">
      <c r="A58" s="178"/>
      <c r="B58" s="204" t="s">
        <v>290</v>
      </c>
      <c r="C58" s="204"/>
      <c r="D58" s="204"/>
      <c r="E58" s="204"/>
      <c r="F58" s="180"/>
    </row>
    <row r="59" spans="1:6" s="199" customFormat="1" ht="15.6">
      <c r="A59" s="178"/>
      <c r="B59" s="204" t="s">
        <v>291</v>
      </c>
      <c r="C59" s="204"/>
      <c r="D59" s="204"/>
      <c r="E59" s="204"/>
      <c r="F59" s="180"/>
    </row>
    <row r="60" spans="1:6" s="199" customFormat="1" ht="15.6">
      <c r="A60" s="178"/>
      <c r="B60" s="204"/>
      <c r="C60" s="204"/>
      <c r="D60" s="204"/>
      <c r="E60" s="204"/>
      <c r="F60" s="180"/>
    </row>
    <row r="62" spans="1:6" ht="15.6">
      <c r="A62" s="195" t="s">
        <v>52</v>
      </c>
    </row>
    <row r="63" spans="1:6" ht="41.4">
      <c r="B63" s="212"/>
      <c r="C63" s="237" t="s">
        <v>292</v>
      </c>
      <c r="D63" s="238" t="s">
        <v>293</v>
      </c>
    </row>
    <row r="64" spans="1:6">
      <c r="A64" s="198" t="s">
        <v>294</v>
      </c>
      <c r="B64" s="212" t="s">
        <v>177</v>
      </c>
    </row>
    <row r="65" spans="2:5">
      <c r="B65" s="212"/>
      <c r="C65" s="214" t="s">
        <v>295</v>
      </c>
      <c r="D65" s="214" t="s">
        <v>295</v>
      </c>
      <c r="E65" s="214"/>
    </row>
    <row r="66" spans="2:5">
      <c r="B66" s="239" t="s">
        <v>296</v>
      </c>
      <c r="C66" s="214" t="s">
        <v>3</v>
      </c>
      <c r="D66" s="214" t="s">
        <v>3</v>
      </c>
      <c r="E66" s="214"/>
    </row>
    <row r="67" spans="2:5">
      <c r="B67" s="198" t="s">
        <v>297</v>
      </c>
      <c r="C67" s="198">
        <v>11275</v>
      </c>
      <c r="D67" s="198">
        <v>11275</v>
      </c>
    </row>
    <row r="68" spans="2:5">
      <c r="B68" s="198" t="s">
        <v>298</v>
      </c>
      <c r="C68" s="198">
        <f>-(C67-25)*0.8</f>
        <v>-9000</v>
      </c>
      <c r="D68" s="198">
        <f>-(D67-25)*0.8</f>
        <v>-9000</v>
      </c>
    </row>
    <row r="69" spans="2:5">
      <c r="B69" s="198" t="s">
        <v>21</v>
      </c>
      <c r="C69" s="198">
        <v>80</v>
      </c>
      <c r="D69" s="198">
        <v>80</v>
      </c>
    </row>
    <row r="70" spans="2:5">
      <c r="B70" s="198" t="s">
        <v>22</v>
      </c>
      <c r="C70" s="198">
        <v>0</v>
      </c>
      <c r="D70" s="198">
        <v>0</v>
      </c>
    </row>
    <row r="71" spans="2:5">
      <c r="B71" s="198" t="s">
        <v>299</v>
      </c>
      <c r="C71" s="198">
        <f>-C68*0.02</f>
        <v>180</v>
      </c>
      <c r="D71" s="198">
        <f>-D68*0.02</f>
        <v>180</v>
      </c>
    </row>
    <row r="72" spans="2:5">
      <c r="B72" s="198" t="s">
        <v>23</v>
      </c>
      <c r="C72" s="198">
        <v>0</v>
      </c>
      <c r="D72" s="198">
        <f>-C87</f>
        <v>8958</v>
      </c>
    </row>
    <row r="73" spans="2:5">
      <c r="B73" s="239" t="s">
        <v>26</v>
      </c>
      <c r="C73" s="240">
        <f>SUM(C67:C72)</f>
        <v>2535</v>
      </c>
      <c r="D73" s="240">
        <f>SUM(D67:D72)</f>
        <v>11493</v>
      </c>
    </row>
    <row r="75" spans="2:5">
      <c r="B75" s="198" t="s">
        <v>30</v>
      </c>
      <c r="C75" s="198">
        <v>0</v>
      </c>
      <c r="D75" s="198">
        <v>0</v>
      </c>
    </row>
    <row r="76" spans="2:5">
      <c r="B76" s="198" t="s">
        <v>271</v>
      </c>
      <c r="C76" s="198">
        <v>0</v>
      </c>
      <c r="D76" s="198">
        <v>0</v>
      </c>
    </row>
    <row r="77" spans="2:5">
      <c r="B77" s="198" t="s">
        <v>272</v>
      </c>
      <c r="C77" s="198">
        <v>450</v>
      </c>
      <c r="D77" s="198">
        <v>450</v>
      </c>
    </row>
    <row r="78" spans="2:5">
      <c r="B78" s="198" t="s">
        <v>300</v>
      </c>
      <c r="C78" s="198">
        <f>-$C$5*0.8*$C$49/1000</f>
        <v>-360</v>
      </c>
      <c r="D78" s="198">
        <f>-$C$5*0.8*$C$49/1000</f>
        <v>-360</v>
      </c>
    </row>
    <row r="79" spans="2:5">
      <c r="B79" s="239" t="s">
        <v>33</v>
      </c>
      <c r="C79" s="240">
        <f>SUM(C75:C78)</f>
        <v>90</v>
      </c>
      <c r="D79" s="240">
        <f>SUM(D75:D78)</f>
        <v>90</v>
      </c>
    </row>
    <row r="81" spans="2:4">
      <c r="B81" s="198" t="s">
        <v>7</v>
      </c>
      <c r="C81" s="198">
        <v>10147.5</v>
      </c>
      <c r="D81" s="198">
        <v>10147.5</v>
      </c>
    </row>
    <row r="82" spans="2:4">
      <c r="B82" s="198" t="s">
        <v>273</v>
      </c>
      <c r="C82" s="198">
        <v>1000</v>
      </c>
      <c r="D82" s="198">
        <v>1000</v>
      </c>
    </row>
    <row r="83" spans="2:4">
      <c r="B83" s="198" t="s">
        <v>274</v>
      </c>
      <c r="C83" s="198">
        <v>30</v>
      </c>
      <c r="D83" s="198">
        <v>30</v>
      </c>
    </row>
    <row r="84" spans="2:4">
      <c r="B84" s="198" t="s">
        <v>275</v>
      </c>
      <c r="C84" s="198">
        <v>225.5</v>
      </c>
      <c r="D84" s="198">
        <v>225.5</v>
      </c>
    </row>
    <row r="85" spans="2:4">
      <c r="B85" s="239" t="s">
        <v>34</v>
      </c>
      <c r="C85" s="240">
        <f>SUM(C81:C84)</f>
        <v>11403</v>
      </c>
      <c r="D85" s="240">
        <f>SUM(D81:D84)</f>
        <v>11403</v>
      </c>
    </row>
    <row r="86" spans="2:4" ht="14.4" thickBot="1">
      <c r="C86" s="241"/>
      <c r="D86" s="241"/>
    </row>
    <row r="87" spans="2:4" ht="14.4" thickTop="1">
      <c r="B87" s="239" t="s">
        <v>15</v>
      </c>
      <c r="C87" s="239">
        <f>C73-C79-C85</f>
        <v>-8958</v>
      </c>
      <c r="D87" s="239">
        <f>D73-D79-D85</f>
        <v>0</v>
      </c>
    </row>
    <row r="90" spans="2:4">
      <c r="B90" s="242" t="s">
        <v>301</v>
      </c>
      <c r="C90" s="198">
        <f>C87</f>
        <v>-8958</v>
      </c>
    </row>
    <row r="91" spans="2:4">
      <c r="B91" s="242" t="s">
        <v>302</v>
      </c>
    </row>
    <row r="92" spans="2:4">
      <c r="B92" s="242" t="s">
        <v>303</v>
      </c>
      <c r="C92" s="243">
        <f>D72/(-D68)</f>
        <v>0.99533333333333329</v>
      </c>
    </row>
    <row r="93" spans="2:4">
      <c r="B93" s="212"/>
    </row>
    <row r="94" spans="2:4">
      <c r="B94" s="213"/>
    </row>
    <row r="95" spans="2:4" ht="14.4" thickBot="1">
      <c r="B95" s="244" t="s">
        <v>304</v>
      </c>
    </row>
    <row r="96" spans="2:4" ht="14.4" thickBot="1">
      <c r="C96" s="245">
        <f>C92</f>
        <v>0.99533333333333329</v>
      </c>
    </row>
    <row r="98" spans="1:3">
      <c r="A98" s="198" t="s">
        <v>305</v>
      </c>
      <c r="B98" s="212" t="s">
        <v>177</v>
      </c>
    </row>
    <row r="99" spans="1:3">
      <c r="C99" s="214" t="s">
        <v>306</v>
      </c>
    </row>
    <row r="100" spans="1:3">
      <c r="B100" s="239" t="s">
        <v>307</v>
      </c>
      <c r="C100" s="214" t="s">
        <v>3</v>
      </c>
    </row>
    <row r="101" spans="1:3">
      <c r="B101" s="198" t="s">
        <v>297</v>
      </c>
      <c r="C101" s="198">
        <f>-C68</f>
        <v>9000</v>
      </c>
    </row>
    <row r="102" spans="1:3">
      <c r="B102" s="198" t="s">
        <v>21</v>
      </c>
      <c r="C102" s="198">
        <f>1000*0.08</f>
        <v>80</v>
      </c>
    </row>
    <row r="103" spans="1:3">
      <c r="B103" s="198" t="s">
        <v>22</v>
      </c>
      <c r="C103" s="198">
        <v>0</v>
      </c>
    </row>
    <row r="104" spans="1:3">
      <c r="B104" s="239" t="s">
        <v>26</v>
      </c>
      <c r="C104" s="240">
        <f>SUM(C101:C103)</f>
        <v>9080</v>
      </c>
    </row>
    <row r="106" spans="1:3">
      <c r="B106" s="198" t="s">
        <v>30</v>
      </c>
      <c r="C106" s="198">
        <v>0</v>
      </c>
    </row>
    <row r="107" spans="1:3">
      <c r="B107" s="198" t="s">
        <v>271</v>
      </c>
      <c r="C107" s="198">
        <v>0</v>
      </c>
    </row>
    <row r="108" spans="1:3">
      <c r="B108" s="198" t="s">
        <v>272</v>
      </c>
      <c r="C108" s="198">
        <f>-C78</f>
        <v>360</v>
      </c>
    </row>
    <row r="109" spans="1:3">
      <c r="B109" s="239" t="s">
        <v>33</v>
      </c>
      <c r="C109" s="240">
        <f>SUM(C105:C108)</f>
        <v>360</v>
      </c>
    </row>
    <row r="111" spans="1:3">
      <c r="B111" s="198" t="s">
        <v>7</v>
      </c>
      <c r="C111" s="198">
        <f>D72</f>
        <v>8958</v>
      </c>
    </row>
    <row r="112" spans="1:3">
      <c r="B112" s="198" t="s">
        <v>273</v>
      </c>
      <c r="C112" s="198">
        <f>40</f>
        <v>40</v>
      </c>
    </row>
    <row r="113" spans="1:7">
      <c r="B113" s="198" t="s">
        <v>274</v>
      </c>
      <c r="C113" s="198">
        <f>20</f>
        <v>20</v>
      </c>
    </row>
    <row r="114" spans="1:7">
      <c r="B114" s="198" t="s">
        <v>275</v>
      </c>
      <c r="C114" s="198">
        <f>C101*0.02</f>
        <v>180</v>
      </c>
    </row>
    <row r="115" spans="1:7">
      <c r="B115" s="239" t="s">
        <v>34</v>
      </c>
      <c r="C115" s="240">
        <f>SUM(C111:C114)</f>
        <v>9198</v>
      </c>
    </row>
    <row r="116" spans="1:7" ht="14.4" thickBot="1">
      <c r="C116" s="241"/>
    </row>
    <row r="117" spans="1:7" ht="14.4" thickTop="1">
      <c r="B117" s="239" t="s">
        <v>15</v>
      </c>
      <c r="C117" s="198">
        <f>C104-C109-C115</f>
        <v>-478</v>
      </c>
    </row>
    <row r="119" spans="1:7">
      <c r="B119" s="198" t="s">
        <v>308</v>
      </c>
    </row>
    <row r="120" spans="1:7">
      <c r="B120" s="198" t="s">
        <v>309</v>
      </c>
    </row>
    <row r="121" spans="1:7">
      <c r="B121" s="246" t="s">
        <v>310</v>
      </c>
    </row>
    <row r="122" spans="1:7">
      <c r="B122" s="198" t="s">
        <v>311</v>
      </c>
    </row>
    <row r="124" spans="1:7" ht="14.4" thickBot="1">
      <c r="B124" s="239" t="s">
        <v>312</v>
      </c>
    </row>
    <row r="125" spans="1:7" ht="14.4" thickBot="1">
      <c r="C125" s="247" t="s">
        <v>313</v>
      </c>
    </row>
    <row r="127" spans="1:7" ht="15.6">
      <c r="A127" s="197" t="s">
        <v>314</v>
      </c>
      <c r="B127" s="177"/>
      <c r="C127" s="177"/>
      <c r="D127" s="177"/>
      <c r="E127" s="177"/>
      <c r="F127" s="177"/>
      <c r="G127" s="177"/>
    </row>
    <row r="128" spans="1:7" ht="15.6">
      <c r="A128" s="197" t="s">
        <v>315</v>
      </c>
      <c r="B128" s="177"/>
      <c r="C128" s="177"/>
      <c r="D128" s="177"/>
      <c r="E128" s="177"/>
      <c r="F128" s="177"/>
      <c r="G128" s="177"/>
    </row>
  </sheetData>
  <pageMargins left="0.7" right="0.7" top="0.75" bottom="0.75" header="0.3" footer="0.3"/>
  <pageSetup orientation="portrait" horizontalDpi="90" verticalDpi="9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17761-CBA5-47F3-AFE7-C84C96890B75}">
  <dimension ref="A1:G87"/>
  <sheetViews>
    <sheetView workbookViewId="0"/>
  </sheetViews>
  <sheetFormatPr defaultColWidth="9.21875" defaultRowHeight="13.8"/>
  <cols>
    <col min="1" max="1" width="9.21875" style="198"/>
    <col min="2" max="2" width="54.5546875" style="198" customWidth="1"/>
    <col min="3" max="4" width="15.21875" style="198" customWidth="1"/>
    <col min="5" max="5" width="21.77734375" style="198" customWidth="1"/>
    <col min="6" max="6" width="23.44140625" style="198" customWidth="1"/>
    <col min="7" max="16384" width="9.21875" style="198"/>
  </cols>
  <sheetData>
    <row r="1" spans="1:6" ht="17.399999999999999">
      <c r="A1" s="176" t="s">
        <v>316</v>
      </c>
      <c r="B1" s="194"/>
      <c r="C1" s="194"/>
      <c r="D1" s="194"/>
      <c r="E1" s="194"/>
      <c r="F1" s="194"/>
    </row>
    <row r="2" spans="1:6" ht="17.399999999999999">
      <c r="A2" s="176"/>
      <c r="B2" s="194"/>
      <c r="C2" s="194"/>
      <c r="D2" s="194"/>
      <c r="E2" s="194"/>
      <c r="F2" s="194"/>
    </row>
    <row r="3" spans="1:6" ht="15.6">
      <c r="A3" s="178"/>
      <c r="B3" s="178" t="s">
        <v>262</v>
      </c>
      <c r="C3" s="194"/>
      <c r="D3" s="194"/>
      <c r="E3" s="194"/>
      <c r="F3" s="194"/>
    </row>
    <row r="4" spans="1:6" s="199" customFormat="1" ht="16.2" thickBot="1">
      <c r="A4" s="178"/>
      <c r="B4" s="180"/>
      <c r="C4" s="180"/>
      <c r="D4" s="194"/>
      <c r="E4" s="180"/>
      <c r="F4" s="180"/>
    </row>
    <row r="5" spans="1:6" s="195" customFormat="1" ht="16.5" customHeight="1" thickBot="1">
      <c r="A5" s="178"/>
      <c r="B5" s="226" t="s">
        <v>263</v>
      </c>
      <c r="C5" s="227">
        <v>750000</v>
      </c>
      <c r="D5" s="194"/>
      <c r="E5" s="178"/>
      <c r="F5" s="178"/>
    </row>
    <row r="6" spans="1:6" s="195" customFormat="1" ht="16.2" thickBot="1">
      <c r="A6" s="178"/>
      <c r="B6" s="228" t="s">
        <v>264</v>
      </c>
      <c r="C6" s="229">
        <v>15</v>
      </c>
      <c r="D6" s="194"/>
      <c r="E6" s="178"/>
      <c r="F6" s="178"/>
    </row>
    <row r="7" spans="1:6" s="195" customFormat="1" ht="16.2" thickBot="1">
      <c r="A7" s="178"/>
      <c r="B7" s="228" t="s">
        <v>265</v>
      </c>
      <c r="C7" s="229">
        <v>25</v>
      </c>
      <c r="D7" s="194"/>
      <c r="E7" s="178"/>
      <c r="F7" s="178"/>
    </row>
    <row r="8" spans="1:6" s="195" customFormat="1" ht="15.6">
      <c r="A8" s="178"/>
      <c r="B8" s="194"/>
      <c r="C8" s="194"/>
      <c r="D8" s="194"/>
      <c r="E8" s="178"/>
      <c r="F8" s="178"/>
    </row>
    <row r="9" spans="1:6" s="195" customFormat="1" ht="15.6">
      <c r="A9" s="178"/>
      <c r="B9" s="194" t="s">
        <v>61</v>
      </c>
      <c r="C9" s="194"/>
      <c r="D9" s="194"/>
      <c r="E9" s="178"/>
      <c r="F9" s="178"/>
    </row>
    <row r="10" spans="1:6" s="199" customFormat="1" ht="15.6">
      <c r="A10" s="178"/>
      <c r="B10" s="230" t="s">
        <v>266</v>
      </c>
      <c r="C10" s="178"/>
      <c r="D10" s="194"/>
      <c r="E10" s="178"/>
      <c r="F10" s="178"/>
    </row>
    <row r="11" spans="1:6" s="199" customFormat="1" ht="15.6">
      <c r="A11" s="178"/>
      <c r="B11" s="230" t="s">
        <v>267</v>
      </c>
      <c r="C11" s="178"/>
      <c r="D11" s="194"/>
      <c r="E11" s="204"/>
      <c r="F11" s="180"/>
    </row>
    <row r="12" spans="1:6" s="199" customFormat="1" ht="15.6">
      <c r="A12" s="178"/>
      <c r="B12" s="230" t="s">
        <v>268</v>
      </c>
      <c r="C12" s="178"/>
      <c r="D12" s="194"/>
      <c r="E12" s="204"/>
      <c r="F12" s="180"/>
    </row>
    <row r="13" spans="1:6" s="199" customFormat="1" ht="15.6">
      <c r="A13" s="178"/>
      <c r="B13" s="205"/>
      <c r="C13" s="178"/>
      <c r="D13" s="194"/>
      <c r="E13" s="204"/>
      <c r="F13" s="180"/>
    </row>
    <row r="14" spans="1:6" s="199" customFormat="1" ht="15.6">
      <c r="A14" s="178"/>
      <c r="B14" s="178" t="s">
        <v>269</v>
      </c>
      <c r="C14" s="178"/>
      <c r="D14" s="194"/>
      <c r="E14" s="204"/>
      <c r="F14" s="180"/>
    </row>
    <row r="15" spans="1:6" s="199" customFormat="1" ht="16.2" thickBot="1">
      <c r="A15" s="178"/>
      <c r="B15" s="178"/>
      <c r="C15" s="178"/>
      <c r="D15" s="204"/>
      <c r="E15" s="204"/>
      <c r="F15" s="180"/>
    </row>
    <row r="16" spans="1:6" s="199" customFormat="1" ht="16.2" thickBot="1">
      <c r="A16" s="178"/>
      <c r="B16" s="200" t="s">
        <v>270</v>
      </c>
      <c r="C16" s="231" t="s">
        <v>3</v>
      </c>
      <c r="D16" s="231" t="s">
        <v>4</v>
      </c>
      <c r="E16" s="204"/>
      <c r="F16" s="180"/>
    </row>
    <row r="17" spans="1:6" s="199" customFormat="1" ht="16.2" thickBot="1">
      <c r="A17" s="178"/>
      <c r="B17" s="228" t="s">
        <v>5</v>
      </c>
      <c r="C17" s="232">
        <v>11275</v>
      </c>
      <c r="D17" s="232">
        <v>11275</v>
      </c>
      <c r="E17" s="204"/>
      <c r="F17" s="180"/>
    </row>
    <row r="18" spans="1:6" s="199" customFormat="1" ht="16.2" thickBot="1">
      <c r="A18" s="178"/>
      <c r="B18" s="228" t="s">
        <v>21</v>
      </c>
      <c r="C18" s="229">
        <v>80</v>
      </c>
      <c r="D18" s="229">
        <v>40</v>
      </c>
      <c r="E18" s="204"/>
      <c r="F18" s="180"/>
    </row>
    <row r="19" spans="1:6" s="199" customFormat="1" ht="16.2" thickBot="1">
      <c r="A19" s="178"/>
      <c r="B19" s="228" t="s">
        <v>22</v>
      </c>
      <c r="C19" s="229">
        <v>0</v>
      </c>
      <c r="D19" s="229">
        <v>36</v>
      </c>
      <c r="E19" s="204"/>
      <c r="F19" s="180"/>
    </row>
    <row r="20" spans="1:6" s="199" customFormat="1" ht="16.2" thickBot="1">
      <c r="A20" s="178"/>
      <c r="B20" s="233" t="s">
        <v>26</v>
      </c>
      <c r="C20" s="234">
        <f>SUM(C17:C19)</f>
        <v>11355</v>
      </c>
      <c r="D20" s="234">
        <f>SUM(D17:D19)</f>
        <v>11351</v>
      </c>
      <c r="E20" s="204"/>
      <c r="F20" s="180"/>
    </row>
    <row r="21" spans="1:6" s="199" customFormat="1" ht="16.2" thickBot="1">
      <c r="A21" s="178"/>
      <c r="B21" s="233"/>
      <c r="C21" s="235"/>
      <c r="D21" s="235"/>
      <c r="E21" s="204"/>
      <c r="F21" s="180"/>
    </row>
    <row r="22" spans="1:6" s="199" customFormat="1" ht="16.2" thickBot="1">
      <c r="A22" s="178"/>
      <c r="B22" s="228" t="s">
        <v>30</v>
      </c>
      <c r="C22" s="229">
        <v>0</v>
      </c>
      <c r="D22" s="229">
        <v>0</v>
      </c>
      <c r="E22" s="204"/>
      <c r="F22" s="180"/>
    </row>
    <row r="23" spans="1:6" s="199" customFormat="1" ht="16.2" thickBot="1">
      <c r="A23" s="178"/>
      <c r="B23" s="228" t="s">
        <v>271</v>
      </c>
      <c r="C23" s="229">
        <v>0</v>
      </c>
      <c r="D23" s="229">
        <v>0</v>
      </c>
      <c r="E23" s="204"/>
      <c r="F23" s="180"/>
    </row>
    <row r="24" spans="1:6" s="199" customFormat="1" ht="16.2" thickBot="1">
      <c r="A24" s="178"/>
      <c r="B24" s="228" t="s">
        <v>272</v>
      </c>
      <c r="C24" s="229">
        <v>450</v>
      </c>
      <c r="D24" s="232">
        <v>4050</v>
      </c>
      <c r="E24" s="204"/>
      <c r="F24" s="180"/>
    </row>
    <row r="25" spans="1:6" s="199" customFormat="1" ht="16.2" thickBot="1">
      <c r="A25" s="178"/>
      <c r="B25" s="233" t="s">
        <v>33</v>
      </c>
      <c r="C25" s="235">
        <f>SUM(C22:C24)</f>
        <v>450</v>
      </c>
      <c r="D25" s="235">
        <f>SUM(D22:D24)</f>
        <v>4050</v>
      </c>
      <c r="E25" s="204"/>
      <c r="F25" s="180"/>
    </row>
    <row r="26" spans="1:6" s="199" customFormat="1" ht="16.2" thickBot="1">
      <c r="A26" s="178"/>
      <c r="B26" s="228"/>
      <c r="C26" s="229"/>
      <c r="D26" s="229"/>
      <c r="E26" s="204"/>
      <c r="F26" s="180"/>
    </row>
    <row r="27" spans="1:6" s="199" customFormat="1" ht="16.2" thickBot="1">
      <c r="A27" s="178"/>
      <c r="B27" s="228" t="s">
        <v>7</v>
      </c>
      <c r="C27" s="232">
        <v>10147.5</v>
      </c>
      <c r="D27" s="232">
        <v>1127.5</v>
      </c>
      <c r="E27" s="204"/>
      <c r="F27" s="180"/>
    </row>
    <row r="28" spans="1:6" s="199" customFormat="1" ht="16.2" thickBot="1">
      <c r="A28" s="178"/>
      <c r="B28" s="228" t="s">
        <v>273</v>
      </c>
      <c r="C28" s="232">
        <v>1000</v>
      </c>
      <c r="D28" s="229">
        <v>0</v>
      </c>
      <c r="E28" s="204"/>
      <c r="F28" s="180"/>
    </row>
    <row r="29" spans="1:6" s="199" customFormat="1" ht="16.2" thickBot="1">
      <c r="A29" s="178"/>
      <c r="B29" s="228" t="s">
        <v>274</v>
      </c>
      <c r="C29" s="229">
        <v>30</v>
      </c>
      <c r="D29" s="229">
        <v>30</v>
      </c>
      <c r="E29" s="204"/>
      <c r="F29" s="180"/>
    </row>
    <row r="30" spans="1:6" s="199" customFormat="1" ht="16.2" thickBot="1">
      <c r="A30" s="178"/>
      <c r="B30" s="228" t="s">
        <v>275</v>
      </c>
      <c r="C30" s="236">
        <v>225.5</v>
      </c>
      <c r="D30" s="236">
        <v>225.5</v>
      </c>
      <c r="E30" s="204"/>
      <c r="F30" s="180"/>
    </row>
    <row r="31" spans="1:6" s="199" customFormat="1" ht="16.2" thickBot="1">
      <c r="A31" s="178"/>
      <c r="B31" s="233" t="s">
        <v>34</v>
      </c>
      <c r="C31" s="234">
        <f>SUM(C27:C30)</f>
        <v>11403</v>
      </c>
      <c r="D31" s="234">
        <f>SUM(D27:D30)</f>
        <v>1383</v>
      </c>
      <c r="E31" s="204"/>
      <c r="F31" s="180"/>
    </row>
    <row r="32" spans="1:6" s="199" customFormat="1" ht="16.2" thickBot="1">
      <c r="A32" s="178"/>
      <c r="B32" s="228"/>
      <c r="C32" s="229"/>
      <c r="D32" s="229"/>
      <c r="E32" s="204"/>
      <c r="F32" s="180"/>
    </row>
    <row r="33" spans="1:6" s="199" customFormat="1" ht="16.2" thickBot="1">
      <c r="A33" s="178"/>
      <c r="B33" s="233" t="s">
        <v>15</v>
      </c>
      <c r="C33" s="234">
        <f>C20-C25-C31</f>
        <v>-498</v>
      </c>
      <c r="D33" s="234">
        <f>D20-D25-D31</f>
        <v>5918</v>
      </c>
      <c r="E33" s="204"/>
      <c r="F33" s="180"/>
    </row>
    <row r="34" spans="1:6" s="199" customFormat="1" ht="15.6">
      <c r="A34" s="178"/>
      <c r="B34" s="178"/>
      <c r="C34" s="178"/>
      <c r="D34" s="204"/>
      <c r="E34" s="204"/>
      <c r="F34" s="180"/>
    </row>
    <row r="35" spans="1:6" s="199" customFormat="1" ht="15.6">
      <c r="A35" s="178"/>
      <c r="B35" s="178" t="s">
        <v>276</v>
      </c>
      <c r="C35" s="178"/>
      <c r="D35" s="204"/>
      <c r="E35" s="204"/>
      <c r="F35" s="180"/>
    </row>
    <row r="36" spans="1:6" s="199" customFormat="1" ht="15.6">
      <c r="A36" s="178"/>
      <c r="B36" s="178"/>
      <c r="C36" s="178"/>
      <c r="D36" s="204"/>
      <c r="E36" s="204"/>
      <c r="F36" s="180"/>
    </row>
    <row r="37" spans="1:6" s="199" customFormat="1" ht="15.6">
      <c r="A37" s="178"/>
      <c r="B37" s="230" t="s">
        <v>277</v>
      </c>
      <c r="C37" s="230"/>
      <c r="D37" s="204"/>
      <c r="E37" s="204"/>
      <c r="F37" s="180"/>
    </row>
    <row r="38" spans="1:6" s="199" customFormat="1" ht="15.6">
      <c r="A38" s="178"/>
      <c r="B38" s="230" t="s">
        <v>278</v>
      </c>
      <c r="C38" s="230"/>
      <c r="D38" s="204"/>
      <c r="E38" s="204"/>
      <c r="F38" s="180"/>
    </row>
    <row r="39" spans="1:6" s="199" customFormat="1" ht="15.6">
      <c r="A39" s="178"/>
      <c r="B39" s="204"/>
      <c r="C39" s="204"/>
      <c r="D39" s="204"/>
      <c r="E39" s="204"/>
      <c r="F39" s="180"/>
    </row>
    <row r="40" spans="1:6" s="199" customFormat="1" ht="15.6">
      <c r="A40" s="178"/>
      <c r="B40" s="204" t="s">
        <v>269</v>
      </c>
      <c r="C40" s="204"/>
      <c r="D40" s="204"/>
      <c r="E40" s="204"/>
      <c r="F40" s="180"/>
    </row>
    <row r="41" spans="1:6" s="199" customFormat="1" ht="15.6">
      <c r="A41" s="178"/>
      <c r="B41" s="204"/>
      <c r="C41" s="204"/>
      <c r="D41" s="204"/>
      <c r="E41" s="204"/>
      <c r="F41" s="180"/>
    </row>
    <row r="42" spans="1:6" s="199" customFormat="1" ht="15.6">
      <c r="A42" s="178"/>
      <c r="B42" s="230" t="s">
        <v>279</v>
      </c>
      <c r="C42" s="204"/>
      <c r="D42" s="204"/>
      <c r="E42" s="204"/>
      <c r="F42" s="180"/>
    </row>
    <row r="43" spans="1:6" s="199" customFormat="1" ht="15.6">
      <c r="A43" s="178"/>
      <c r="B43" s="230" t="s">
        <v>280</v>
      </c>
      <c r="C43" s="204"/>
      <c r="D43" s="204"/>
      <c r="E43" s="204"/>
      <c r="F43" s="180"/>
    </row>
    <row r="44" spans="1:6" s="199" customFormat="1" ht="15.6">
      <c r="A44" s="178"/>
      <c r="B44" s="230" t="s">
        <v>281</v>
      </c>
      <c r="C44" s="204"/>
      <c r="D44" s="204"/>
      <c r="E44" s="204"/>
      <c r="F44" s="180"/>
    </row>
    <row r="45" spans="1:6" s="199" customFormat="1" ht="15.6">
      <c r="A45" s="178"/>
      <c r="B45" s="230" t="s">
        <v>282</v>
      </c>
      <c r="C45" s="204"/>
      <c r="D45" s="204"/>
      <c r="E45" s="204"/>
      <c r="F45" s="180"/>
    </row>
    <row r="46" spans="1:6" s="199" customFormat="1" ht="15.6">
      <c r="A46" s="178"/>
      <c r="B46" s="230" t="s">
        <v>283</v>
      </c>
      <c r="C46" s="204"/>
      <c r="D46" s="204"/>
      <c r="E46" s="204"/>
      <c r="F46" s="180"/>
    </row>
    <row r="47" spans="1:6" s="199" customFormat="1" ht="16.2" thickBot="1">
      <c r="A47" s="178"/>
      <c r="B47" s="204"/>
      <c r="C47" s="204"/>
      <c r="D47" s="204"/>
      <c r="E47" s="204"/>
      <c r="F47" s="180"/>
    </row>
    <row r="48" spans="1:6" s="199" customFormat="1" ht="16.2" thickBot="1">
      <c r="A48" s="178"/>
      <c r="B48" s="226"/>
      <c r="C48" s="231" t="s">
        <v>3</v>
      </c>
      <c r="D48" s="231" t="s">
        <v>4</v>
      </c>
      <c r="E48" s="204"/>
      <c r="F48" s="180"/>
    </row>
    <row r="49" spans="1:6" s="199" customFormat="1" ht="16.2" thickBot="1">
      <c r="A49" s="178"/>
      <c r="B49" s="228" t="s">
        <v>284</v>
      </c>
      <c r="C49" s="229">
        <v>0.6</v>
      </c>
      <c r="D49" s="229">
        <v>6</v>
      </c>
      <c r="E49" s="204"/>
      <c r="F49" s="180"/>
    </row>
    <row r="50" spans="1:6" s="199" customFormat="1" ht="16.2" thickBot="1">
      <c r="A50" s="178"/>
      <c r="B50" s="228" t="s">
        <v>285</v>
      </c>
      <c r="C50" s="229">
        <v>0.7</v>
      </c>
      <c r="D50" s="229">
        <v>0.9</v>
      </c>
      <c r="E50" s="204"/>
      <c r="F50" s="180"/>
    </row>
    <row r="51" spans="1:6" s="199" customFormat="1" ht="16.2" thickBot="1">
      <c r="A51" s="178"/>
      <c r="B51" s="228" t="s">
        <v>286</v>
      </c>
      <c r="C51" s="229">
        <v>0.65</v>
      </c>
      <c r="D51" s="229">
        <v>0.8</v>
      </c>
      <c r="E51" s="204"/>
      <c r="F51" s="180"/>
    </row>
    <row r="52" spans="1:6" s="199" customFormat="1" ht="15.6">
      <c r="A52" s="178"/>
      <c r="B52" s="204"/>
      <c r="C52" s="204"/>
      <c r="D52" s="204"/>
      <c r="E52" s="204"/>
      <c r="F52" s="180"/>
    </row>
    <row r="53" spans="1:6" s="199" customFormat="1" ht="15.6">
      <c r="A53" s="178" t="s">
        <v>317</v>
      </c>
      <c r="B53" s="204"/>
      <c r="C53" s="204"/>
      <c r="D53" s="204"/>
      <c r="E53" s="204"/>
      <c r="F53" s="180"/>
    </row>
    <row r="54" spans="1:6" s="199" customFormat="1" ht="15.6">
      <c r="A54" s="178"/>
      <c r="B54" s="204"/>
      <c r="C54" s="204"/>
      <c r="D54" s="204"/>
      <c r="E54" s="204"/>
      <c r="F54" s="180"/>
    </row>
    <row r="55" spans="1:6" s="199" customFormat="1" ht="15.6">
      <c r="A55" s="178"/>
      <c r="B55" s="204" t="s">
        <v>318</v>
      </c>
      <c r="C55" s="204"/>
      <c r="D55" s="204"/>
      <c r="E55" s="204"/>
      <c r="F55" s="180"/>
    </row>
    <row r="56" spans="1:6" s="199" customFormat="1" ht="15.6">
      <c r="A56" s="178"/>
      <c r="B56" s="204" t="s">
        <v>319</v>
      </c>
      <c r="C56" s="204"/>
      <c r="D56" s="204"/>
      <c r="E56" s="204"/>
      <c r="F56" s="180"/>
    </row>
    <row r="57" spans="1:6" s="199" customFormat="1" ht="15.6">
      <c r="A57" s="178"/>
      <c r="B57" s="204" t="s">
        <v>320</v>
      </c>
      <c r="C57" s="204"/>
      <c r="D57" s="204"/>
      <c r="E57" s="204"/>
      <c r="F57" s="180"/>
    </row>
    <row r="58" spans="1:6" s="199" customFormat="1" ht="15.6">
      <c r="A58" s="178"/>
      <c r="B58" s="204"/>
      <c r="C58" s="204"/>
      <c r="D58" s="204"/>
      <c r="E58" s="204"/>
      <c r="F58" s="180"/>
    </row>
    <row r="59" spans="1:6" s="199" customFormat="1" ht="15.6">
      <c r="A59" s="178"/>
      <c r="B59" s="204" t="s">
        <v>321</v>
      </c>
      <c r="C59" s="204"/>
      <c r="D59" s="204"/>
      <c r="E59" s="204"/>
      <c r="F59" s="180"/>
    </row>
    <row r="60" spans="1:6" s="199" customFormat="1" ht="15.6">
      <c r="A60" s="178"/>
      <c r="B60" s="204" t="s">
        <v>291</v>
      </c>
      <c r="C60" s="204"/>
      <c r="D60" s="204"/>
      <c r="E60" s="204"/>
      <c r="F60" s="180"/>
    </row>
    <row r="61" spans="1:6" ht="15.6">
      <c r="A61" s="178"/>
      <c r="B61" s="204"/>
      <c r="C61" s="204"/>
      <c r="D61" s="211"/>
      <c r="E61" s="211"/>
      <c r="F61" s="194"/>
    </row>
    <row r="63" spans="1:6" ht="15.6">
      <c r="A63" s="195" t="s">
        <v>52</v>
      </c>
    </row>
    <row r="64" spans="1:6">
      <c r="B64" s="212"/>
    </row>
    <row r="65" spans="1:6">
      <c r="A65" s="198" t="s">
        <v>322</v>
      </c>
      <c r="B65" s="212" t="s">
        <v>177</v>
      </c>
    </row>
    <row r="66" spans="1:6">
      <c r="B66" s="212"/>
    </row>
    <row r="67" spans="1:6">
      <c r="B67" s="212"/>
    </row>
    <row r="68" spans="1:6">
      <c r="B68" s="212"/>
    </row>
    <row r="69" spans="1:6">
      <c r="B69" s="212"/>
    </row>
    <row r="70" spans="1:6">
      <c r="B70" s="212"/>
    </row>
    <row r="71" spans="1:6">
      <c r="B71" s="212"/>
    </row>
    <row r="72" spans="1:6">
      <c r="B72" s="212"/>
    </row>
    <row r="73" spans="1:6">
      <c r="B73" s="212"/>
    </row>
    <row r="74" spans="1:6" ht="15.6">
      <c r="B74" s="263"/>
      <c r="C74" s="256"/>
      <c r="D74" s="256"/>
      <c r="E74" s="256"/>
      <c r="F74" s="256"/>
    </row>
    <row r="75" spans="1:6">
      <c r="B75" s="214"/>
      <c r="C75" s="260"/>
      <c r="D75" s="260"/>
      <c r="E75" s="260"/>
      <c r="F75" s="260"/>
    </row>
    <row r="76" spans="1:6">
      <c r="B76" s="214"/>
      <c r="C76" s="260"/>
      <c r="D76" s="260"/>
      <c r="E76" s="260"/>
      <c r="F76" s="260"/>
    </row>
    <row r="77" spans="1:6">
      <c r="B77" s="214"/>
      <c r="C77" s="260"/>
      <c r="D77" s="260"/>
      <c r="E77" s="260"/>
      <c r="F77" s="260"/>
    </row>
    <row r="78" spans="1:6">
      <c r="B78" s="214"/>
      <c r="C78" s="260"/>
      <c r="D78" s="260"/>
      <c r="E78" s="260"/>
      <c r="F78" s="260"/>
    </row>
    <row r="79" spans="1:6">
      <c r="B79" s="214"/>
      <c r="C79" s="260"/>
      <c r="D79" s="260"/>
      <c r="E79" s="260"/>
      <c r="F79" s="260"/>
    </row>
    <row r="80" spans="1:6">
      <c r="B80" s="214"/>
      <c r="C80" s="260"/>
      <c r="D80" s="260"/>
      <c r="E80" s="260"/>
      <c r="F80" s="260"/>
    </row>
    <row r="81" spans="1:7">
      <c r="B81" s="213"/>
    </row>
    <row r="82" spans="1:7">
      <c r="B82" s="213"/>
    </row>
    <row r="83" spans="1:7">
      <c r="B83" s="213"/>
    </row>
    <row r="86" spans="1:7" ht="15.6">
      <c r="A86" s="197" t="s">
        <v>314</v>
      </c>
      <c r="B86" s="177"/>
      <c r="C86" s="177"/>
      <c r="D86" s="177"/>
      <c r="E86" s="177"/>
      <c r="F86" s="177"/>
      <c r="G86" s="177"/>
    </row>
    <row r="87" spans="1:7" ht="15.6">
      <c r="A87" s="197" t="s">
        <v>334</v>
      </c>
      <c r="B87" s="177"/>
      <c r="C87" s="177"/>
      <c r="D87" s="177"/>
      <c r="E87" s="177"/>
      <c r="F87" s="177"/>
      <c r="G87" s="177"/>
    </row>
  </sheetData>
  <pageMargins left="0.7" right="0.7" top="0.75" bottom="0.75" header="0.3" footer="0.3"/>
  <pageSetup orientation="portrait" horizontalDpi="90" verticalDpi="9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1B36B-5209-428A-82F8-C56003812819}">
  <dimension ref="A1:H105"/>
  <sheetViews>
    <sheetView workbookViewId="0"/>
  </sheetViews>
  <sheetFormatPr defaultColWidth="9.21875" defaultRowHeight="13.8"/>
  <cols>
    <col min="1" max="1" width="9.21875" style="198"/>
    <col min="2" max="2" width="56" style="198" customWidth="1"/>
    <col min="3" max="4" width="15.21875" style="198" customWidth="1"/>
    <col min="5" max="5" width="21.77734375" style="198" customWidth="1"/>
    <col min="6" max="8" width="23.44140625" style="198" customWidth="1"/>
    <col min="9" max="16384" width="9.21875" style="198"/>
  </cols>
  <sheetData>
    <row r="1" spans="1:6" ht="17.399999999999999">
      <c r="A1" s="176" t="s">
        <v>316</v>
      </c>
      <c r="B1" s="194"/>
      <c r="C1" s="194"/>
      <c r="D1" s="194"/>
      <c r="E1" s="194"/>
      <c r="F1" s="194"/>
    </row>
    <row r="2" spans="1:6" ht="17.399999999999999">
      <c r="A2" s="176"/>
      <c r="B2" s="194"/>
      <c r="C2" s="194"/>
      <c r="D2" s="194"/>
      <c r="E2" s="194"/>
      <c r="F2" s="194"/>
    </row>
    <row r="3" spans="1:6" ht="15.6">
      <c r="A3" s="178"/>
      <c r="B3" s="178" t="s">
        <v>262</v>
      </c>
      <c r="C3" s="194"/>
      <c r="D3" s="194"/>
      <c r="E3" s="194"/>
      <c r="F3" s="194"/>
    </row>
    <row r="4" spans="1:6" s="199" customFormat="1" ht="16.2" thickBot="1">
      <c r="A4" s="178"/>
      <c r="B4" s="180"/>
      <c r="C4" s="180"/>
      <c r="D4" s="194"/>
      <c r="E4" s="180"/>
      <c r="F4" s="180"/>
    </row>
    <row r="5" spans="1:6" s="195" customFormat="1" ht="16.5" customHeight="1" thickBot="1">
      <c r="A5" s="178"/>
      <c r="B5" s="226" t="s">
        <v>263</v>
      </c>
      <c r="C5" s="227">
        <v>750000</v>
      </c>
      <c r="D5" s="194"/>
      <c r="E5" s="178"/>
      <c r="F5" s="178"/>
    </row>
    <row r="6" spans="1:6" s="195" customFormat="1" ht="16.2" thickBot="1">
      <c r="A6" s="178"/>
      <c r="B6" s="228" t="s">
        <v>264</v>
      </c>
      <c r="C6" s="229">
        <v>15</v>
      </c>
      <c r="D6" s="194"/>
      <c r="E6" s="178"/>
      <c r="F6" s="178"/>
    </row>
    <row r="7" spans="1:6" s="195" customFormat="1" ht="16.2" thickBot="1">
      <c r="A7" s="178"/>
      <c r="B7" s="228" t="s">
        <v>265</v>
      </c>
      <c r="C7" s="229">
        <v>25</v>
      </c>
      <c r="D7" s="194"/>
      <c r="E7" s="178"/>
      <c r="F7" s="178"/>
    </row>
    <row r="8" spans="1:6" s="195" customFormat="1" ht="15.6">
      <c r="A8" s="178"/>
      <c r="B8" s="194"/>
      <c r="C8" s="194"/>
      <c r="D8" s="194"/>
      <c r="E8" s="178"/>
      <c r="F8" s="178"/>
    </row>
    <row r="9" spans="1:6" s="195" customFormat="1" ht="15.6">
      <c r="A9" s="178"/>
      <c r="B9" s="194" t="s">
        <v>61</v>
      </c>
      <c r="C9" s="194"/>
      <c r="D9" s="194"/>
      <c r="E9" s="178"/>
      <c r="F9" s="178"/>
    </row>
    <row r="10" spans="1:6" s="199" customFormat="1" ht="15.6">
      <c r="A10" s="178"/>
      <c r="B10" s="230" t="s">
        <v>266</v>
      </c>
      <c r="C10" s="178"/>
      <c r="D10" s="194"/>
      <c r="E10" s="178"/>
      <c r="F10" s="178"/>
    </row>
    <row r="11" spans="1:6" s="199" customFormat="1" ht="15.6">
      <c r="A11" s="178"/>
      <c r="B11" s="230" t="s">
        <v>267</v>
      </c>
      <c r="C11" s="178"/>
      <c r="D11" s="194"/>
      <c r="E11" s="204"/>
      <c r="F11" s="180"/>
    </row>
    <row r="12" spans="1:6" s="199" customFormat="1" ht="15.6">
      <c r="A12" s="178"/>
      <c r="B12" s="230" t="s">
        <v>268</v>
      </c>
      <c r="C12" s="178"/>
      <c r="D12" s="194"/>
      <c r="E12" s="204"/>
      <c r="F12" s="180"/>
    </row>
    <row r="13" spans="1:6" s="199" customFormat="1" ht="15.6">
      <c r="A13" s="178"/>
      <c r="B13" s="205"/>
      <c r="C13" s="178"/>
      <c r="D13" s="194"/>
      <c r="E13" s="204"/>
      <c r="F13" s="180"/>
    </row>
    <row r="14" spans="1:6" s="199" customFormat="1" ht="15.6">
      <c r="A14" s="178"/>
      <c r="B14" s="178" t="s">
        <v>269</v>
      </c>
      <c r="C14" s="178"/>
      <c r="D14" s="194"/>
      <c r="E14" s="204"/>
      <c r="F14" s="180"/>
    </row>
    <row r="15" spans="1:6" s="199" customFormat="1" ht="16.2" thickBot="1">
      <c r="A15" s="178"/>
      <c r="B15" s="178"/>
      <c r="C15" s="178"/>
      <c r="D15" s="204"/>
      <c r="E15" s="204"/>
      <c r="F15" s="180"/>
    </row>
    <row r="16" spans="1:6" s="199" customFormat="1" ht="16.2" thickBot="1">
      <c r="A16" s="178"/>
      <c r="B16" s="200" t="s">
        <v>270</v>
      </c>
      <c r="C16" s="231" t="s">
        <v>3</v>
      </c>
      <c r="D16" s="231" t="s">
        <v>4</v>
      </c>
      <c r="E16" s="204"/>
      <c r="F16" s="180"/>
    </row>
    <row r="17" spans="1:6" s="199" customFormat="1" ht="16.2" thickBot="1">
      <c r="A17" s="178"/>
      <c r="B17" s="228" t="s">
        <v>5</v>
      </c>
      <c r="C17" s="232">
        <v>11275</v>
      </c>
      <c r="D17" s="232">
        <v>11275</v>
      </c>
      <c r="E17" s="204"/>
      <c r="F17" s="180"/>
    </row>
    <row r="18" spans="1:6" s="199" customFormat="1" ht="16.2" thickBot="1">
      <c r="A18" s="178"/>
      <c r="B18" s="228" t="s">
        <v>21</v>
      </c>
      <c r="C18" s="229">
        <v>80</v>
      </c>
      <c r="D18" s="229">
        <v>40</v>
      </c>
      <c r="E18" s="204"/>
      <c r="F18" s="180"/>
    </row>
    <row r="19" spans="1:6" s="199" customFormat="1" ht="16.2" thickBot="1">
      <c r="A19" s="178"/>
      <c r="B19" s="228" t="s">
        <v>22</v>
      </c>
      <c r="C19" s="229">
        <v>0</v>
      </c>
      <c r="D19" s="229">
        <v>36</v>
      </c>
      <c r="E19" s="204"/>
      <c r="F19" s="180"/>
    </row>
    <row r="20" spans="1:6" s="199" customFormat="1" ht="16.2" thickBot="1">
      <c r="A20" s="178"/>
      <c r="B20" s="233" t="s">
        <v>26</v>
      </c>
      <c r="C20" s="234">
        <f>SUM(C17:C19)</f>
        <v>11355</v>
      </c>
      <c r="D20" s="234">
        <f>SUM(D17:D19)</f>
        <v>11351</v>
      </c>
      <c r="E20" s="204"/>
      <c r="F20" s="180"/>
    </row>
    <row r="21" spans="1:6" s="199" customFormat="1" ht="16.2" thickBot="1">
      <c r="A21" s="178"/>
      <c r="B21" s="233"/>
      <c r="C21" s="235"/>
      <c r="D21" s="235"/>
      <c r="E21" s="204"/>
      <c r="F21" s="180"/>
    </row>
    <row r="22" spans="1:6" s="199" customFormat="1" ht="16.2" thickBot="1">
      <c r="A22" s="178"/>
      <c r="B22" s="228" t="s">
        <v>30</v>
      </c>
      <c r="C22" s="229">
        <v>0</v>
      </c>
      <c r="D22" s="229">
        <v>0</v>
      </c>
      <c r="E22" s="204"/>
      <c r="F22" s="180"/>
    </row>
    <row r="23" spans="1:6" s="199" customFormat="1" ht="16.2" thickBot="1">
      <c r="A23" s="178"/>
      <c r="B23" s="228" t="s">
        <v>271</v>
      </c>
      <c r="C23" s="229">
        <v>0</v>
      </c>
      <c r="D23" s="229">
        <v>0</v>
      </c>
      <c r="E23" s="204"/>
      <c r="F23" s="180"/>
    </row>
    <row r="24" spans="1:6" s="199" customFormat="1" ht="16.2" thickBot="1">
      <c r="A24" s="178"/>
      <c r="B24" s="228" t="s">
        <v>272</v>
      </c>
      <c r="C24" s="229">
        <v>450</v>
      </c>
      <c r="D24" s="232">
        <v>4050</v>
      </c>
      <c r="E24" s="204"/>
      <c r="F24" s="180"/>
    </row>
    <row r="25" spans="1:6" s="199" customFormat="1" ht="16.2" thickBot="1">
      <c r="A25" s="178"/>
      <c r="B25" s="233" t="s">
        <v>33</v>
      </c>
      <c r="C25" s="235">
        <f>SUM(C22:C24)</f>
        <v>450</v>
      </c>
      <c r="D25" s="235">
        <f>SUM(D22:D24)</f>
        <v>4050</v>
      </c>
      <c r="E25" s="204"/>
      <c r="F25" s="180"/>
    </row>
    <row r="26" spans="1:6" s="199" customFormat="1" ht="16.2" thickBot="1">
      <c r="A26" s="178"/>
      <c r="B26" s="228"/>
      <c r="C26" s="229"/>
      <c r="D26" s="229"/>
      <c r="E26" s="204"/>
      <c r="F26" s="180"/>
    </row>
    <row r="27" spans="1:6" s="199" customFormat="1" ht="16.2" thickBot="1">
      <c r="A27" s="178"/>
      <c r="B27" s="228" t="s">
        <v>7</v>
      </c>
      <c r="C27" s="232">
        <v>10147.5</v>
      </c>
      <c r="D27" s="232">
        <v>1127.5</v>
      </c>
      <c r="E27" s="204"/>
      <c r="F27" s="180"/>
    </row>
    <row r="28" spans="1:6" s="199" customFormat="1" ht="16.2" thickBot="1">
      <c r="A28" s="178"/>
      <c r="B28" s="228" t="s">
        <v>273</v>
      </c>
      <c r="C28" s="232">
        <v>1000</v>
      </c>
      <c r="D28" s="229">
        <v>0</v>
      </c>
      <c r="E28" s="204"/>
      <c r="F28" s="180"/>
    </row>
    <row r="29" spans="1:6" s="199" customFormat="1" ht="16.2" thickBot="1">
      <c r="A29" s="178"/>
      <c r="B29" s="228" t="s">
        <v>274</v>
      </c>
      <c r="C29" s="229">
        <v>30</v>
      </c>
      <c r="D29" s="229">
        <v>30</v>
      </c>
      <c r="E29" s="204"/>
      <c r="F29" s="180"/>
    </row>
    <row r="30" spans="1:6" s="199" customFormat="1" ht="16.2" thickBot="1">
      <c r="A30" s="178"/>
      <c r="B30" s="228" t="s">
        <v>275</v>
      </c>
      <c r="C30" s="236">
        <v>225.5</v>
      </c>
      <c r="D30" s="236">
        <v>225.5</v>
      </c>
      <c r="E30" s="204"/>
      <c r="F30" s="180"/>
    </row>
    <row r="31" spans="1:6" s="199" customFormat="1" ht="16.2" thickBot="1">
      <c r="A31" s="178"/>
      <c r="B31" s="233" t="s">
        <v>34</v>
      </c>
      <c r="C31" s="234">
        <f>SUM(C27:C30)</f>
        <v>11403</v>
      </c>
      <c r="D31" s="234">
        <f>SUM(D27:D30)</f>
        <v>1383</v>
      </c>
      <c r="E31" s="204"/>
      <c r="F31" s="180"/>
    </row>
    <row r="32" spans="1:6" s="199" customFormat="1" ht="16.2" thickBot="1">
      <c r="A32" s="178"/>
      <c r="B32" s="228"/>
      <c r="C32" s="229"/>
      <c r="D32" s="229"/>
      <c r="E32" s="204"/>
      <c r="F32" s="180"/>
    </row>
    <row r="33" spans="1:6" s="199" customFormat="1" ht="16.2" thickBot="1">
      <c r="A33" s="178"/>
      <c r="B33" s="233" t="s">
        <v>15</v>
      </c>
      <c r="C33" s="234">
        <f>C20-C25-C31</f>
        <v>-498</v>
      </c>
      <c r="D33" s="234">
        <f>D20-D25-D31</f>
        <v>5918</v>
      </c>
      <c r="E33" s="204"/>
      <c r="F33" s="180"/>
    </row>
    <row r="34" spans="1:6" s="199" customFormat="1" ht="15.6">
      <c r="A34" s="178"/>
      <c r="B34" s="178"/>
      <c r="C34" s="178"/>
      <c r="D34" s="204"/>
      <c r="E34" s="204"/>
      <c r="F34" s="180"/>
    </row>
    <row r="35" spans="1:6" s="199" customFormat="1" ht="15.6">
      <c r="A35" s="178"/>
      <c r="B35" s="178" t="s">
        <v>276</v>
      </c>
      <c r="C35" s="178"/>
      <c r="D35" s="204"/>
      <c r="E35" s="204"/>
      <c r="F35" s="180"/>
    </row>
    <row r="36" spans="1:6" s="199" customFormat="1" ht="15.6">
      <c r="A36" s="178"/>
      <c r="B36" s="178"/>
      <c r="C36" s="178"/>
      <c r="D36" s="204"/>
      <c r="E36" s="204"/>
      <c r="F36" s="180"/>
    </row>
    <row r="37" spans="1:6" s="199" customFormat="1" ht="15.6">
      <c r="A37" s="178"/>
      <c r="B37" s="230" t="s">
        <v>277</v>
      </c>
      <c r="C37" s="230"/>
      <c r="D37" s="204"/>
      <c r="E37" s="204"/>
      <c r="F37" s="180"/>
    </row>
    <row r="38" spans="1:6" s="199" customFormat="1" ht="15.6">
      <c r="A38" s="178"/>
      <c r="B38" s="230" t="s">
        <v>278</v>
      </c>
      <c r="C38" s="230"/>
      <c r="D38" s="204"/>
      <c r="E38" s="204"/>
      <c r="F38" s="180"/>
    </row>
    <row r="39" spans="1:6" s="199" customFormat="1" ht="15.6">
      <c r="A39" s="178"/>
      <c r="B39" s="204"/>
      <c r="C39" s="204"/>
      <c r="D39" s="204"/>
      <c r="E39" s="204"/>
      <c r="F39" s="180"/>
    </row>
    <row r="40" spans="1:6" s="199" customFormat="1" ht="15.6">
      <c r="A40" s="178"/>
      <c r="B40" s="204" t="s">
        <v>269</v>
      </c>
      <c r="C40" s="204"/>
      <c r="D40" s="204"/>
      <c r="E40" s="204"/>
      <c r="F40" s="180"/>
    </row>
    <row r="41" spans="1:6" s="199" customFormat="1" ht="15.6">
      <c r="A41" s="178"/>
      <c r="B41" s="204"/>
      <c r="C41" s="204"/>
      <c r="D41" s="204"/>
      <c r="E41" s="204"/>
      <c r="F41" s="180"/>
    </row>
    <row r="42" spans="1:6" s="199" customFormat="1" ht="15.6">
      <c r="A42" s="178"/>
      <c r="B42" s="230" t="s">
        <v>279</v>
      </c>
      <c r="C42" s="204"/>
      <c r="D42" s="204"/>
      <c r="E42" s="204"/>
      <c r="F42" s="180"/>
    </row>
    <row r="43" spans="1:6" s="199" customFormat="1" ht="15.6">
      <c r="A43" s="178"/>
      <c r="B43" s="230" t="s">
        <v>280</v>
      </c>
      <c r="C43" s="204"/>
      <c r="D43" s="204"/>
      <c r="E43" s="204"/>
      <c r="F43" s="180"/>
    </row>
    <row r="44" spans="1:6" s="199" customFormat="1" ht="15.6">
      <c r="A44" s="178"/>
      <c r="B44" s="230" t="s">
        <v>281</v>
      </c>
      <c r="C44" s="204"/>
      <c r="D44" s="204"/>
      <c r="E44" s="204"/>
      <c r="F44" s="180"/>
    </row>
    <row r="45" spans="1:6" s="199" customFormat="1" ht="15.6">
      <c r="A45" s="178"/>
      <c r="B45" s="230" t="s">
        <v>282</v>
      </c>
      <c r="C45" s="204"/>
      <c r="D45" s="204"/>
      <c r="E45" s="204"/>
      <c r="F45" s="180"/>
    </row>
    <row r="46" spans="1:6" s="199" customFormat="1" ht="15.6">
      <c r="A46" s="178"/>
      <c r="B46" s="230" t="s">
        <v>283</v>
      </c>
      <c r="C46" s="204"/>
      <c r="D46" s="204"/>
      <c r="E46" s="204"/>
      <c r="F46" s="180"/>
    </row>
    <row r="47" spans="1:6" s="199" customFormat="1" ht="16.2" thickBot="1">
      <c r="A47" s="178"/>
      <c r="B47" s="204"/>
      <c r="C47" s="204"/>
      <c r="D47" s="204"/>
      <c r="E47" s="204"/>
      <c r="F47" s="180"/>
    </row>
    <row r="48" spans="1:6" s="199" customFormat="1" ht="16.2" thickBot="1">
      <c r="A48" s="178"/>
      <c r="B48" s="226"/>
      <c r="C48" s="231" t="s">
        <v>3</v>
      </c>
      <c r="D48" s="231" t="s">
        <v>4</v>
      </c>
      <c r="E48" s="204"/>
      <c r="F48" s="180"/>
    </row>
    <row r="49" spans="1:6" s="199" customFormat="1" ht="16.2" thickBot="1">
      <c r="A49" s="178"/>
      <c r="B49" s="228" t="s">
        <v>284</v>
      </c>
      <c r="C49" s="229">
        <v>0.6</v>
      </c>
      <c r="D49" s="229">
        <v>6</v>
      </c>
      <c r="E49" s="204"/>
      <c r="F49" s="180"/>
    </row>
    <row r="50" spans="1:6" s="199" customFormat="1" ht="16.2" thickBot="1">
      <c r="A50" s="178"/>
      <c r="B50" s="228" t="s">
        <v>285</v>
      </c>
      <c r="C50" s="229">
        <v>0.7</v>
      </c>
      <c r="D50" s="229">
        <v>0.9</v>
      </c>
      <c r="E50" s="204"/>
      <c r="F50" s="180"/>
    </row>
    <row r="51" spans="1:6" s="199" customFormat="1" ht="16.2" thickBot="1">
      <c r="A51" s="178"/>
      <c r="B51" s="228" t="s">
        <v>286</v>
      </c>
      <c r="C51" s="229">
        <v>0.65</v>
      </c>
      <c r="D51" s="229">
        <v>0.8</v>
      </c>
      <c r="E51" s="204"/>
      <c r="F51" s="180"/>
    </row>
    <row r="52" spans="1:6" s="199" customFormat="1" ht="15.6">
      <c r="A52" s="178"/>
      <c r="B52" s="204"/>
      <c r="C52" s="204"/>
      <c r="D52" s="204"/>
      <c r="E52" s="204"/>
      <c r="F52" s="180"/>
    </row>
    <row r="53" spans="1:6" s="199" customFormat="1" ht="15.6">
      <c r="A53" s="178" t="s">
        <v>317</v>
      </c>
      <c r="B53" s="204"/>
      <c r="C53" s="204"/>
      <c r="D53" s="204"/>
      <c r="E53" s="204"/>
      <c r="F53" s="180"/>
    </row>
    <row r="54" spans="1:6" s="199" customFormat="1" ht="15.6">
      <c r="A54" s="178"/>
      <c r="B54" s="204"/>
      <c r="C54" s="204"/>
      <c r="D54" s="204"/>
      <c r="E54" s="204"/>
      <c r="F54" s="180"/>
    </row>
    <row r="55" spans="1:6" s="199" customFormat="1" ht="15.6">
      <c r="A55" s="178"/>
      <c r="B55" s="204" t="s">
        <v>318</v>
      </c>
      <c r="C55" s="204"/>
      <c r="D55" s="204"/>
      <c r="E55" s="204"/>
      <c r="F55" s="180"/>
    </row>
    <row r="56" spans="1:6" s="199" customFormat="1" ht="15.6">
      <c r="A56" s="178"/>
      <c r="B56" s="204" t="s">
        <v>319</v>
      </c>
      <c r="C56" s="204"/>
      <c r="D56" s="204"/>
      <c r="E56" s="204"/>
      <c r="F56" s="180"/>
    </row>
    <row r="57" spans="1:6" s="199" customFormat="1" ht="15.6">
      <c r="A57" s="178"/>
      <c r="B57" s="204" t="s">
        <v>320</v>
      </c>
      <c r="C57" s="204"/>
      <c r="D57" s="204"/>
      <c r="E57" s="204"/>
      <c r="F57" s="180"/>
    </row>
    <row r="58" spans="1:6" s="199" customFormat="1" ht="15.6">
      <c r="A58" s="178"/>
      <c r="B58" s="204"/>
      <c r="C58" s="204"/>
      <c r="D58" s="204"/>
      <c r="E58" s="204"/>
      <c r="F58" s="180"/>
    </row>
    <row r="59" spans="1:6" s="199" customFormat="1" ht="15.6">
      <c r="A59" s="178"/>
      <c r="B59" s="204" t="s">
        <v>321</v>
      </c>
      <c r="C59" s="204"/>
      <c r="D59" s="204"/>
      <c r="E59" s="204"/>
      <c r="F59" s="180"/>
    </row>
    <row r="60" spans="1:6" s="199" customFormat="1" ht="15.6">
      <c r="A60" s="178"/>
      <c r="B60" s="204" t="s">
        <v>291</v>
      </c>
      <c r="C60" s="204"/>
      <c r="D60" s="204"/>
      <c r="E60" s="204"/>
      <c r="F60" s="180"/>
    </row>
    <row r="61" spans="1:6" ht="15.6">
      <c r="A61" s="178"/>
      <c r="B61" s="204"/>
      <c r="C61" s="204"/>
      <c r="D61" s="211"/>
      <c r="E61" s="211"/>
      <c r="F61" s="194"/>
    </row>
    <row r="63" spans="1:6" ht="15.6">
      <c r="A63" s="195" t="s">
        <v>52</v>
      </c>
    </row>
    <row r="64" spans="1:6">
      <c r="B64" s="212"/>
    </row>
    <row r="65" spans="1:8">
      <c r="A65" s="198" t="s">
        <v>322</v>
      </c>
      <c r="B65" s="212" t="s">
        <v>177</v>
      </c>
    </row>
    <row r="66" spans="1:8">
      <c r="B66" s="212"/>
    </row>
    <row r="67" spans="1:8">
      <c r="B67" s="198" t="s">
        <v>323</v>
      </c>
    </row>
    <row r="68" spans="1:8">
      <c r="B68" s="212"/>
    </row>
    <row r="69" spans="1:8">
      <c r="B69" s="212"/>
    </row>
    <row r="70" spans="1:8">
      <c r="B70" s="212"/>
      <c r="C70" s="278" t="s">
        <v>324</v>
      </c>
      <c r="D70" s="279"/>
      <c r="F70" s="278" t="s">
        <v>325</v>
      </c>
      <c r="G70" s="280"/>
      <c r="H70" s="279"/>
    </row>
    <row r="71" spans="1:8" ht="41.4">
      <c r="B71" s="248" t="s">
        <v>326</v>
      </c>
      <c r="C71" s="249" t="s">
        <v>3</v>
      </c>
      <c r="D71" s="249" t="s">
        <v>4</v>
      </c>
      <c r="E71" s="249"/>
      <c r="F71" s="249" t="s">
        <v>3</v>
      </c>
      <c r="G71" s="250" t="s">
        <v>327</v>
      </c>
      <c r="H71" s="250" t="s">
        <v>328</v>
      </c>
    </row>
    <row r="72" spans="1:8">
      <c r="B72" s="251" t="s">
        <v>5</v>
      </c>
      <c r="C72" s="252">
        <v>11275</v>
      </c>
      <c r="D72" s="252">
        <v>11275</v>
      </c>
      <c r="F72" s="252">
        <f>C72</f>
        <v>11275</v>
      </c>
      <c r="G72" s="252">
        <f>D72</f>
        <v>11275</v>
      </c>
      <c r="H72" s="252">
        <f>G72</f>
        <v>11275</v>
      </c>
    </row>
    <row r="73" spans="1:8">
      <c r="B73" s="251" t="s">
        <v>298</v>
      </c>
      <c r="C73" s="252"/>
      <c r="D73" s="252"/>
      <c r="F73" s="252">
        <v>0</v>
      </c>
      <c r="G73" s="252">
        <v>0</v>
      </c>
      <c r="H73" s="252">
        <f>-(6960-6420)</f>
        <v>-540</v>
      </c>
    </row>
    <row r="74" spans="1:8">
      <c r="B74" s="251" t="s">
        <v>21</v>
      </c>
      <c r="C74" s="252">
        <v>80</v>
      </c>
      <c r="D74" s="252">
        <v>40</v>
      </c>
      <c r="F74" s="252">
        <f>0.08*F93</f>
        <v>80</v>
      </c>
      <c r="G74" s="252">
        <f>0.08*F94</f>
        <v>73.760000000000005</v>
      </c>
      <c r="H74" s="252">
        <f>0.08*F94</f>
        <v>73.760000000000005</v>
      </c>
    </row>
    <row r="75" spans="1:8" ht="15.6">
      <c r="B75" s="253" t="s">
        <v>22</v>
      </c>
      <c r="C75" s="254">
        <v>0</v>
      </c>
      <c r="D75" s="255">
        <v>36</v>
      </c>
      <c r="E75" s="256"/>
      <c r="F75" s="254">
        <v>0</v>
      </c>
      <c r="G75" s="252">
        <f>0.08*SUM(F80:F81)</f>
        <v>2.4</v>
      </c>
      <c r="H75" s="252">
        <f>0.08*SUM(F80:F81)</f>
        <v>2.4</v>
      </c>
    </row>
    <row r="76" spans="1:8" s="239" customFormat="1">
      <c r="B76" s="244" t="s">
        <v>26</v>
      </c>
      <c r="C76" s="257">
        <v>11355</v>
      </c>
      <c r="D76" s="257">
        <v>11351</v>
      </c>
      <c r="E76" s="258"/>
      <c r="F76" s="257">
        <f>SUM(F72:F75)</f>
        <v>11355</v>
      </c>
      <c r="G76" s="257">
        <f>SUM(G72:G75)</f>
        <v>11351.16</v>
      </c>
      <c r="H76" s="257">
        <f>SUM(H72:H75)</f>
        <v>10811.16</v>
      </c>
    </row>
    <row r="77" spans="1:8">
      <c r="B77" s="246"/>
      <c r="C77" s="259"/>
      <c r="D77" s="259"/>
      <c r="E77" s="260"/>
      <c r="F77" s="259"/>
      <c r="G77" s="252"/>
      <c r="H77" s="252"/>
    </row>
    <row r="78" spans="1:8">
      <c r="B78" s="246" t="s">
        <v>30</v>
      </c>
      <c r="C78" s="259">
        <v>0</v>
      </c>
      <c r="D78" s="259">
        <v>0</v>
      </c>
      <c r="E78" s="260"/>
      <c r="F78" s="259">
        <v>0</v>
      </c>
      <c r="G78" s="252">
        <v>0</v>
      </c>
      <c r="H78" s="252">
        <v>0</v>
      </c>
    </row>
    <row r="79" spans="1:8">
      <c r="B79" s="246" t="s">
        <v>271</v>
      </c>
      <c r="C79" s="259">
        <v>0</v>
      </c>
      <c r="D79" s="259">
        <v>0</v>
      </c>
      <c r="E79" s="260"/>
      <c r="F79" s="259">
        <v>0</v>
      </c>
      <c r="G79" s="252">
        <v>0</v>
      </c>
      <c r="H79" s="252">
        <v>0</v>
      </c>
    </row>
    <row r="80" spans="1:8">
      <c r="B80" s="246" t="s">
        <v>272</v>
      </c>
      <c r="C80" s="259">
        <v>450</v>
      </c>
      <c r="D80" s="259">
        <v>4050</v>
      </c>
      <c r="E80" s="260"/>
      <c r="F80" s="259">
        <f>C49*C5/1000</f>
        <v>450</v>
      </c>
      <c r="G80" s="252">
        <f>C5/1000*D49-F80</f>
        <v>4050</v>
      </c>
      <c r="H80" s="252">
        <f>C5/1000*D49-F80</f>
        <v>4050</v>
      </c>
    </row>
    <row r="81" spans="2:8">
      <c r="B81" s="246" t="s">
        <v>300</v>
      </c>
      <c r="C81" s="259">
        <v>0</v>
      </c>
      <c r="D81" s="259">
        <v>0</v>
      </c>
      <c r="E81" s="260"/>
      <c r="F81" s="259">
        <f>-600000/1000*C50</f>
        <v>-420</v>
      </c>
      <c r="G81" s="252">
        <f>-600000/1000*D50-F81</f>
        <v>-120</v>
      </c>
      <c r="H81" s="252">
        <f>-600000/1000*D50-F81</f>
        <v>-120</v>
      </c>
    </row>
    <row r="82" spans="2:8" s="239" customFormat="1">
      <c r="B82" s="244" t="s">
        <v>33</v>
      </c>
      <c r="C82" s="257">
        <f>SUM(C78:C81)</f>
        <v>450</v>
      </c>
      <c r="D82" s="257">
        <f>SUM(D78:D81)</f>
        <v>4050</v>
      </c>
      <c r="E82" s="258"/>
      <c r="F82" s="257">
        <f>SUM(F78:F81)</f>
        <v>30</v>
      </c>
      <c r="G82" s="257">
        <f>SUM(G78:G81)</f>
        <v>3930</v>
      </c>
      <c r="H82" s="257">
        <f>SUM(H78:H81)</f>
        <v>3930</v>
      </c>
    </row>
    <row r="83" spans="2:8">
      <c r="B83" s="246"/>
      <c r="C83" s="252"/>
      <c r="D83" s="252"/>
      <c r="F83" s="252"/>
      <c r="G83" s="252"/>
      <c r="H83" s="252"/>
    </row>
    <row r="84" spans="2:8">
      <c r="B84" s="246" t="s">
        <v>7</v>
      </c>
      <c r="C84" s="252">
        <v>10147.5</v>
      </c>
      <c r="D84" s="252">
        <v>1127.5</v>
      </c>
      <c r="F84" s="252">
        <f t="shared" ref="F84:G87" si="0">C84</f>
        <v>10147.5</v>
      </c>
      <c r="G84" s="252">
        <f t="shared" si="0"/>
        <v>1127.5</v>
      </c>
      <c r="H84" s="252">
        <f>G84</f>
        <v>1127.5</v>
      </c>
    </row>
    <row r="85" spans="2:8">
      <c r="B85" s="251" t="s">
        <v>273</v>
      </c>
      <c r="C85" s="252">
        <v>1000</v>
      </c>
      <c r="D85" s="252">
        <v>0</v>
      </c>
      <c r="F85" s="252">
        <f t="shared" si="0"/>
        <v>1000</v>
      </c>
      <c r="G85" s="252">
        <f t="shared" si="0"/>
        <v>0</v>
      </c>
      <c r="H85" s="252">
        <f>G85</f>
        <v>0</v>
      </c>
    </row>
    <row r="86" spans="2:8">
      <c r="B86" s="251" t="s">
        <v>274</v>
      </c>
      <c r="C86" s="252">
        <v>30</v>
      </c>
      <c r="D86" s="252">
        <v>30</v>
      </c>
      <c r="F86" s="252">
        <f t="shared" si="0"/>
        <v>30</v>
      </c>
      <c r="G86" s="252">
        <f t="shared" si="0"/>
        <v>30</v>
      </c>
      <c r="H86" s="252">
        <f>G86</f>
        <v>30</v>
      </c>
    </row>
    <row r="87" spans="2:8">
      <c r="B87" s="251" t="s">
        <v>275</v>
      </c>
      <c r="C87" s="252">
        <v>225.5</v>
      </c>
      <c r="D87" s="252">
        <v>225.5</v>
      </c>
      <c r="F87" s="252">
        <f t="shared" si="0"/>
        <v>225.5</v>
      </c>
      <c r="G87" s="252">
        <f t="shared" si="0"/>
        <v>225.5</v>
      </c>
      <c r="H87" s="252">
        <f>G87</f>
        <v>225.5</v>
      </c>
    </row>
    <row r="88" spans="2:8" s="239" customFormat="1" ht="14.4">
      <c r="B88" s="261" t="s">
        <v>34</v>
      </c>
      <c r="C88" s="262">
        <v>11403</v>
      </c>
      <c r="D88" s="262">
        <v>1383</v>
      </c>
      <c r="F88" s="262">
        <f>SUM(F84:F87)</f>
        <v>11403</v>
      </c>
      <c r="G88" s="262">
        <f>SUM(G84:G87)</f>
        <v>1383</v>
      </c>
      <c r="H88" s="262">
        <f>SUM(H84:H87)</f>
        <v>1383</v>
      </c>
    </row>
    <row r="89" spans="2:8">
      <c r="B89" s="251"/>
      <c r="C89" s="252"/>
      <c r="D89" s="252"/>
      <c r="F89" s="252"/>
      <c r="G89" s="252"/>
      <c r="H89" s="252"/>
    </row>
    <row r="90" spans="2:8">
      <c r="B90" s="251" t="s">
        <v>15</v>
      </c>
      <c r="C90" s="252">
        <v>-498</v>
      </c>
      <c r="D90" s="252">
        <v>5918</v>
      </c>
      <c r="F90" s="252">
        <f>F76-F82-F88</f>
        <v>-78</v>
      </c>
      <c r="G90" s="252">
        <f>G76-G82-G88</f>
        <v>6038.16</v>
      </c>
      <c r="H90" s="252">
        <f>H76-H82-H88</f>
        <v>5498.16</v>
      </c>
    </row>
    <row r="91" spans="2:8">
      <c r="B91" s="212"/>
      <c r="C91" s="252"/>
      <c r="D91" s="252"/>
      <c r="F91" s="252"/>
      <c r="G91" s="252"/>
      <c r="H91" s="252"/>
    </row>
    <row r="92" spans="2:8" ht="15.6">
      <c r="B92" s="263"/>
      <c r="C92" s="256"/>
      <c r="D92" s="256"/>
      <c r="E92" s="256"/>
      <c r="F92" s="254"/>
      <c r="G92" s="252"/>
      <c r="H92" s="252"/>
    </row>
    <row r="93" spans="2:8">
      <c r="B93" s="214" t="s">
        <v>329</v>
      </c>
      <c r="C93" s="259">
        <f>1000</f>
        <v>1000</v>
      </c>
      <c r="D93" s="259">
        <f>C94</f>
        <v>502</v>
      </c>
      <c r="E93" s="260"/>
      <c r="F93" s="259">
        <f>1000</f>
        <v>1000</v>
      </c>
      <c r="G93" s="259">
        <f>F94</f>
        <v>922</v>
      </c>
      <c r="H93" s="259">
        <f>F94</f>
        <v>922</v>
      </c>
    </row>
    <row r="94" spans="2:8">
      <c r="B94" s="214" t="s">
        <v>330</v>
      </c>
      <c r="C94" s="259">
        <f>C93+C90</f>
        <v>502</v>
      </c>
      <c r="D94" s="259">
        <f>D93+D90</f>
        <v>6420</v>
      </c>
      <c r="E94" s="260"/>
      <c r="F94" s="259">
        <f>F93+F90</f>
        <v>922</v>
      </c>
      <c r="G94" s="259">
        <f>G93+G90</f>
        <v>6960.16</v>
      </c>
      <c r="H94" s="259">
        <f>H93+H90</f>
        <v>6420.16</v>
      </c>
    </row>
    <row r="95" spans="2:8">
      <c r="B95" s="214"/>
      <c r="C95" s="260"/>
      <c r="D95" s="260"/>
      <c r="E95" s="260"/>
      <c r="F95" s="260"/>
    </row>
    <row r="96" spans="2:8">
      <c r="B96" s="214"/>
      <c r="C96" s="260"/>
      <c r="D96" s="260"/>
      <c r="E96" s="260"/>
      <c r="F96" s="260"/>
    </row>
    <row r="97" spans="1:7" ht="41.4">
      <c r="B97" s="264" t="s">
        <v>331</v>
      </c>
      <c r="C97" s="265">
        <v>-540</v>
      </c>
      <c r="D97" s="260"/>
      <c r="E97" s="260"/>
      <c r="F97" s="260"/>
    </row>
    <row r="98" spans="1:7">
      <c r="B98" s="266" t="s">
        <v>332</v>
      </c>
      <c r="C98" s="267">
        <f>-C97/(600000/1000)</f>
        <v>0.9</v>
      </c>
      <c r="D98" s="260"/>
      <c r="E98" s="260"/>
      <c r="F98" s="260"/>
    </row>
    <row r="99" spans="1:7">
      <c r="B99" s="266" t="s">
        <v>333</v>
      </c>
      <c r="C99" s="268">
        <f>C98</f>
        <v>0.9</v>
      </c>
    </row>
    <row r="100" spans="1:7">
      <c r="B100" s="213"/>
    </row>
    <row r="101" spans="1:7">
      <c r="B101" s="213"/>
    </row>
    <row r="104" spans="1:7" ht="15.6">
      <c r="A104" s="197" t="s">
        <v>314</v>
      </c>
      <c r="B104" s="177"/>
      <c r="C104" s="177"/>
      <c r="D104" s="177"/>
      <c r="E104" s="177"/>
      <c r="F104" s="177"/>
      <c r="G104" s="177"/>
    </row>
    <row r="105" spans="1:7" ht="15.6">
      <c r="A105" s="197" t="s">
        <v>334</v>
      </c>
      <c r="B105" s="177"/>
      <c r="C105" s="177"/>
      <c r="D105" s="177"/>
      <c r="E105" s="177"/>
      <c r="F105" s="177"/>
      <c r="G105" s="177"/>
    </row>
  </sheetData>
  <mergeCells count="2">
    <mergeCell ref="C70:D70"/>
    <mergeCell ref="F70:H70"/>
  </mergeCells>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BA543-90C2-412E-A477-961CD5C1F51E}">
  <dimension ref="A1:K34"/>
  <sheetViews>
    <sheetView workbookViewId="0"/>
  </sheetViews>
  <sheetFormatPr defaultColWidth="8.88671875" defaultRowHeight="15.6"/>
  <cols>
    <col min="1" max="1" width="20.21875" style="28" bestFit="1" customWidth="1"/>
    <col min="2" max="16384" width="8.88671875" style="28"/>
  </cols>
  <sheetData>
    <row r="1" spans="1:11" ht="17.399999999999999">
      <c r="A1" s="26" t="s">
        <v>0</v>
      </c>
      <c r="B1" s="27"/>
      <c r="C1" s="27"/>
      <c r="D1" s="27"/>
      <c r="E1" s="27"/>
      <c r="F1" s="27"/>
      <c r="G1" s="27"/>
      <c r="H1" s="27"/>
      <c r="I1" s="27"/>
      <c r="J1" s="27"/>
      <c r="K1" s="27"/>
    </row>
    <row r="2" spans="1:11">
      <c r="A2" s="27"/>
      <c r="B2" s="27"/>
      <c r="C2" s="27"/>
      <c r="D2" s="27"/>
      <c r="E2" s="27"/>
      <c r="F2" s="27"/>
      <c r="G2" s="27"/>
      <c r="H2" s="27"/>
      <c r="I2" s="27"/>
      <c r="J2" s="27"/>
      <c r="K2" s="27"/>
    </row>
    <row r="3" spans="1:11">
      <c r="A3" s="27" t="s">
        <v>1</v>
      </c>
      <c r="B3" s="27"/>
      <c r="C3" s="27"/>
      <c r="D3" s="27"/>
      <c r="E3" s="27"/>
      <c r="F3" s="27"/>
      <c r="G3" s="27"/>
      <c r="H3" s="27"/>
      <c r="I3" s="27"/>
      <c r="J3" s="27"/>
      <c r="K3" s="27"/>
    </row>
    <row r="4" spans="1:11">
      <c r="A4" s="27"/>
      <c r="B4" s="27"/>
      <c r="C4" s="27"/>
      <c r="D4" s="27"/>
      <c r="E4" s="27"/>
      <c r="F4" s="27"/>
      <c r="G4" s="27"/>
      <c r="H4" s="27"/>
      <c r="I4" s="27"/>
      <c r="J4" s="27"/>
      <c r="K4" s="27"/>
    </row>
    <row r="5" spans="1:11" ht="16.2" thickBot="1">
      <c r="A5" s="27"/>
      <c r="B5" s="27"/>
      <c r="C5" s="27"/>
      <c r="D5" s="27"/>
      <c r="E5" s="27"/>
      <c r="F5" s="27"/>
      <c r="G5" s="27"/>
      <c r="H5" s="27"/>
      <c r="I5" s="27"/>
      <c r="J5" s="27"/>
      <c r="K5" s="27"/>
    </row>
    <row r="6" spans="1:11">
      <c r="A6" s="29" t="s">
        <v>2</v>
      </c>
      <c r="B6" s="30" t="s">
        <v>3</v>
      </c>
      <c r="C6" s="31" t="s">
        <v>4</v>
      </c>
      <c r="D6" s="27"/>
      <c r="E6" s="27"/>
      <c r="F6" s="27"/>
      <c r="G6" s="27"/>
      <c r="H6" s="27"/>
      <c r="I6" s="27"/>
      <c r="J6" s="27"/>
      <c r="K6" s="27"/>
    </row>
    <row r="7" spans="1:11">
      <c r="A7" s="32" t="s">
        <v>5</v>
      </c>
      <c r="B7" s="33">
        <v>2000</v>
      </c>
      <c r="C7" s="34">
        <v>0</v>
      </c>
      <c r="D7" s="27"/>
      <c r="E7" s="27"/>
      <c r="F7" s="27"/>
      <c r="G7" s="27"/>
      <c r="H7" s="27"/>
      <c r="I7" s="27"/>
      <c r="J7" s="27"/>
      <c r="K7" s="27"/>
    </row>
    <row r="8" spans="1:11">
      <c r="A8" s="32" t="s">
        <v>6</v>
      </c>
      <c r="B8" s="35">
        <v>50</v>
      </c>
      <c r="C8" s="34">
        <v>10</v>
      </c>
      <c r="D8" s="27"/>
      <c r="E8" s="27"/>
      <c r="F8" s="27"/>
      <c r="G8" s="27"/>
      <c r="H8" s="27"/>
      <c r="I8" s="27"/>
      <c r="J8" s="27"/>
      <c r="K8" s="27"/>
    </row>
    <row r="9" spans="1:11">
      <c r="A9" s="32" t="s">
        <v>7</v>
      </c>
      <c r="B9" s="35">
        <v>250</v>
      </c>
      <c r="C9" s="34">
        <v>0</v>
      </c>
      <c r="D9" s="27"/>
      <c r="E9" s="27"/>
      <c r="F9" s="27"/>
      <c r="G9" s="27"/>
      <c r="H9" s="27"/>
      <c r="I9" s="27"/>
      <c r="J9" s="27"/>
      <c r="K9" s="27"/>
    </row>
    <row r="10" spans="1:11">
      <c r="A10" s="32" t="s">
        <v>8</v>
      </c>
      <c r="B10" s="33">
        <v>1500</v>
      </c>
      <c r="C10" s="36">
        <v>1800</v>
      </c>
      <c r="D10" s="27"/>
      <c r="E10" s="27"/>
      <c r="F10" s="27"/>
      <c r="G10" s="27"/>
      <c r="H10" s="27"/>
      <c r="I10" s="27"/>
      <c r="J10" s="27"/>
      <c r="K10" s="27"/>
    </row>
    <row r="11" spans="1:11">
      <c r="A11" s="32" t="s">
        <v>9</v>
      </c>
      <c r="B11" s="35">
        <v>0</v>
      </c>
      <c r="C11" s="34">
        <v>50</v>
      </c>
      <c r="D11" s="27"/>
      <c r="E11" s="27"/>
      <c r="F11" s="27"/>
      <c r="G11" s="27"/>
      <c r="H11" s="27"/>
      <c r="I11" s="27"/>
      <c r="J11" s="27"/>
      <c r="K11" s="27"/>
    </row>
    <row r="12" spans="1:11">
      <c r="A12" s="32" t="s">
        <v>10</v>
      </c>
      <c r="B12" s="37">
        <v>0.1</v>
      </c>
      <c r="C12" s="38">
        <v>0.1</v>
      </c>
      <c r="D12" s="27"/>
      <c r="E12" s="27"/>
      <c r="F12" s="27"/>
      <c r="G12" s="27"/>
      <c r="H12" s="27"/>
      <c r="I12" s="27"/>
      <c r="J12" s="27"/>
      <c r="K12" s="27"/>
    </row>
    <row r="13" spans="1:11">
      <c r="A13" s="32"/>
      <c r="B13" s="35"/>
      <c r="C13" s="34"/>
      <c r="D13" s="27"/>
      <c r="E13" s="27"/>
      <c r="F13" s="27"/>
      <c r="G13" s="27"/>
      <c r="H13" s="27"/>
      <c r="I13" s="27"/>
      <c r="J13" s="27"/>
      <c r="K13" s="27"/>
    </row>
    <row r="14" spans="1:11">
      <c r="A14" s="39" t="s">
        <v>50</v>
      </c>
      <c r="B14" s="40" t="s">
        <v>3</v>
      </c>
      <c r="C14" s="41" t="s">
        <v>4</v>
      </c>
      <c r="D14" s="27"/>
      <c r="E14" s="27"/>
      <c r="F14" s="27"/>
      <c r="G14" s="27"/>
      <c r="H14" s="27"/>
      <c r="I14" s="27"/>
      <c r="J14" s="27"/>
      <c r="K14" s="27"/>
    </row>
    <row r="15" spans="1:11">
      <c r="A15" s="32" t="s">
        <v>12</v>
      </c>
      <c r="B15" s="37">
        <v>0.1</v>
      </c>
      <c r="C15" s="38">
        <v>0.1</v>
      </c>
      <c r="D15" s="27"/>
      <c r="E15" s="27"/>
      <c r="F15" s="27"/>
      <c r="G15" s="27"/>
      <c r="H15" s="27"/>
      <c r="I15" s="27"/>
      <c r="J15" s="27"/>
      <c r="K15" s="27"/>
    </row>
    <row r="16" spans="1:11" ht="16.2" thickBot="1">
      <c r="A16" s="42" t="s">
        <v>13</v>
      </c>
      <c r="B16" s="43">
        <v>0.05</v>
      </c>
      <c r="C16" s="44">
        <v>0.05</v>
      </c>
      <c r="D16" s="27"/>
      <c r="E16" s="27"/>
      <c r="F16" s="27"/>
      <c r="G16" s="27"/>
      <c r="H16" s="27"/>
      <c r="I16" s="27"/>
      <c r="J16" s="27"/>
      <c r="K16" s="27"/>
    </row>
    <row r="17" spans="1:11">
      <c r="A17" s="27"/>
      <c r="B17" s="27"/>
      <c r="C17" s="27"/>
      <c r="D17" s="27"/>
      <c r="E17" s="27"/>
      <c r="F17" s="27"/>
      <c r="G17" s="27"/>
      <c r="H17" s="27"/>
      <c r="I17" s="27"/>
      <c r="J17" s="27"/>
      <c r="K17" s="27"/>
    </row>
    <row r="18" spans="1:11">
      <c r="A18" s="27"/>
      <c r="B18" s="27"/>
      <c r="C18" s="27"/>
      <c r="D18" s="27"/>
      <c r="E18" s="27"/>
      <c r="F18" s="27"/>
      <c r="G18" s="27"/>
      <c r="H18" s="27"/>
      <c r="I18" s="27"/>
      <c r="J18" s="27"/>
      <c r="K18" s="27"/>
    </row>
    <row r="19" spans="1:11">
      <c r="A19" s="27" t="s">
        <v>51</v>
      </c>
      <c r="B19" s="27"/>
      <c r="C19" s="27"/>
      <c r="D19" s="27"/>
      <c r="E19" s="27"/>
      <c r="F19" s="27"/>
      <c r="G19" s="27"/>
      <c r="H19" s="27"/>
      <c r="I19" s="27"/>
      <c r="J19" s="27"/>
      <c r="K19" s="27"/>
    </row>
    <row r="20" spans="1:11">
      <c r="A20" s="45" t="s">
        <v>52</v>
      </c>
    </row>
    <row r="33" spans="1:11">
      <c r="A33" s="27" t="s">
        <v>53</v>
      </c>
      <c r="B33" s="27"/>
      <c r="C33" s="27"/>
      <c r="D33" s="27"/>
      <c r="E33" s="27"/>
      <c r="F33" s="27"/>
      <c r="G33" s="27"/>
      <c r="H33" s="27"/>
      <c r="I33" s="27"/>
      <c r="J33" s="27"/>
      <c r="K33" s="27"/>
    </row>
    <row r="34" spans="1:11">
      <c r="A34" s="45"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E0FB7-AE73-419D-974F-D0E7097E092A}">
  <dimension ref="A1:F84"/>
  <sheetViews>
    <sheetView zoomScale="90" zoomScaleNormal="90" workbookViewId="0">
      <selection activeCell="E32" sqref="E32"/>
    </sheetView>
  </sheetViews>
  <sheetFormatPr defaultColWidth="21.44140625" defaultRowHeight="15.75" customHeight="1"/>
  <cols>
    <col min="1" max="1" width="35.77734375" customWidth="1"/>
    <col min="4" max="4" width="5.77734375" customWidth="1"/>
  </cols>
  <sheetData>
    <row r="1" spans="1:3" s="6" customFormat="1" ht="22.5" customHeight="1">
      <c r="A1" s="5" t="s">
        <v>0</v>
      </c>
    </row>
    <row r="2" spans="1:3" s="6" customFormat="1" ht="15.75" customHeight="1"/>
    <row r="3" spans="1:3" s="6" customFormat="1" ht="15.75" customHeight="1">
      <c r="A3" s="6" t="s">
        <v>1</v>
      </c>
    </row>
    <row r="4" spans="1:3" s="6" customFormat="1" ht="15.75" customHeight="1"/>
    <row r="5" spans="1:3" s="6" customFormat="1" ht="15.75" customHeight="1"/>
    <row r="6" spans="1:3" s="6" customFormat="1" ht="15.75" customHeight="1">
      <c r="A6" s="7" t="s">
        <v>2</v>
      </c>
      <c r="B6" s="8" t="s">
        <v>3</v>
      </c>
      <c r="C6" s="8" t="s">
        <v>4</v>
      </c>
    </row>
    <row r="7" spans="1:3" s="6" customFormat="1" ht="15.75" customHeight="1">
      <c r="A7" s="9" t="s">
        <v>5</v>
      </c>
      <c r="B7" s="10">
        <v>2000</v>
      </c>
      <c r="C7" s="10">
        <v>0</v>
      </c>
    </row>
    <row r="8" spans="1:3" s="6" customFormat="1" ht="15.75" customHeight="1">
      <c r="A8" s="9" t="s">
        <v>6</v>
      </c>
      <c r="B8" s="10">
        <v>50</v>
      </c>
      <c r="C8" s="10">
        <v>10</v>
      </c>
    </row>
    <row r="9" spans="1:3" s="6" customFormat="1" ht="15.75" customHeight="1">
      <c r="A9" s="9" t="s">
        <v>7</v>
      </c>
      <c r="B9" s="10">
        <v>250</v>
      </c>
      <c r="C9" s="10">
        <v>0</v>
      </c>
    </row>
    <row r="10" spans="1:3" s="6" customFormat="1" ht="15.75" customHeight="1">
      <c r="A10" s="9" t="s">
        <v>8</v>
      </c>
      <c r="B10" s="10">
        <v>1500</v>
      </c>
      <c r="C10" s="10">
        <v>1800</v>
      </c>
    </row>
    <row r="11" spans="1:3" s="6" customFormat="1" ht="15.75" customHeight="1">
      <c r="A11" s="9" t="s">
        <v>9</v>
      </c>
      <c r="B11" s="10">
        <v>0</v>
      </c>
      <c r="C11" s="10">
        <v>50</v>
      </c>
    </row>
    <row r="12" spans="1:3" s="6" customFormat="1" ht="15.75" customHeight="1">
      <c r="A12" s="9" t="s">
        <v>10</v>
      </c>
      <c r="B12" s="11">
        <v>0.1</v>
      </c>
      <c r="C12" s="11">
        <v>0.1</v>
      </c>
    </row>
    <row r="13" spans="1:3" s="6" customFormat="1" ht="15.75" customHeight="1">
      <c r="B13" s="12"/>
      <c r="C13" s="12"/>
    </row>
    <row r="14" spans="1:3" s="6" customFormat="1" ht="15.75" customHeight="1">
      <c r="A14" s="7" t="s">
        <v>11</v>
      </c>
      <c r="B14" s="8" t="s">
        <v>3</v>
      </c>
      <c r="C14" s="8" t="s">
        <v>4</v>
      </c>
    </row>
    <row r="15" spans="1:3" s="6" customFormat="1" ht="15.75" customHeight="1">
      <c r="A15" s="9" t="s">
        <v>12</v>
      </c>
      <c r="B15" s="11">
        <v>0.1</v>
      </c>
      <c r="C15" s="11">
        <v>0.1</v>
      </c>
    </row>
    <row r="16" spans="1:3" s="6" customFormat="1" ht="15.75" customHeight="1">
      <c r="A16" s="9" t="s">
        <v>13</v>
      </c>
      <c r="B16" s="11">
        <v>0.05</v>
      </c>
      <c r="C16" s="11">
        <v>0.05</v>
      </c>
    </row>
    <row r="17" spans="1:3" s="6" customFormat="1" ht="15.75" customHeight="1"/>
    <row r="18" spans="1:3" s="6" customFormat="1" ht="15.75" customHeight="1"/>
    <row r="19" spans="1:3" s="6" customFormat="1" ht="15.75" customHeight="1">
      <c r="A19" s="6" t="s">
        <v>14</v>
      </c>
    </row>
    <row r="20" spans="1:3" s="6" customFormat="1" ht="15.75" customHeight="1"/>
    <row r="21" spans="1:3" s="6" customFormat="1" ht="15.75" customHeight="1">
      <c r="A21" s="6" t="s">
        <v>38</v>
      </c>
    </row>
    <row r="24" spans="1:3" ht="15.75" customHeight="1">
      <c r="A24" s="1" t="s">
        <v>28</v>
      </c>
      <c r="B24" s="18">
        <v>1</v>
      </c>
    </row>
    <row r="27" spans="1:3" ht="15.75" customHeight="1">
      <c r="A27" s="19"/>
      <c r="B27" s="272" t="s">
        <v>24</v>
      </c>
      <c r="C27" s="272"/>
    </row>
    <row r="28" spans="1:3" ht="15.75" customHeight="1">
      <c r="A28" s="19"/>
      <c r="B28" s="20" t="s">
        <v>3</v>
      </c>
      <c r="C28" s="20" t="s">
        <v>4</v>
      </c>
    </row>
    <row r="29" spans="1:3" ht="15.75" customHeight="1">
      <c r="A29" s="2" t="s">
        <v>35</v>
      </c>
      <c r="B29" s="4">
        <f>B10*$B$24</f>
        <v>1500</v>
      </c>
      <c r="C29" s="4">
        <f>C10*$B$24</f>
        <v>1800</v>
      </c>
    </row>
    <row r="30" spans="1:3" ht="15.75" customHeight="1">
      <c r="A30" s="2" t="s">
        <v>36</v>
      </c>
      <c r="B30" s="4"/>
      <c r="C30" s="4">
        <f>B10*$B$24</f>
        <v>1500</v>
      </c>
    </row>
    <row r="31" spans="1:3" ht="15.75" customHeight="1">
      <c r="A31" s="2" t="s">
        <v>37</v>
      </c>
      <c r="B31" s="4">
        <f>B30*B16</f>
        <v>0</v>
      </c>
      <c r="C31" s="4">
        <f>C30*C16</f>
        <v>75</v>
      </c>
    </row>
    <row r="32" spans="1:3" ht="15.75" customHeight="1">
      <c r="A32" s="21" t="s">
        <v>24</v>
      </c>
      <c r="B32" s="22">
        <f>B29-B30-B31</f>
        <v>1500</v>
      </c>
      <c r="C32" s="22">
        <f>C29-C30-C31</f>
        <v>225</v>
      </c>
    </row>
    <row r="35" spans="1:6" ht="15.75" customHeight="1">
      <c r="A35" s="21"/>
      <c r="B35" s="272" t="s">
        <v>15</v>
      </c>
      <c r="C35" s="272"/>
      <c r="D35" s="272"/>
      <c r="E35" s="272"/>
      <c r="F35" s="272"/>
    </row>
    <row r="36" spans="1:6" ht="15.75" customHeight="1">
      <c r="A36" s="21"/>
      <c r="B36" s="272" t="s">
        <v>2</v>
      </c>
      <c r="C36" s="272"/>
      <c r="D36" s="23"/>
      <c r="E36" s="272" t="s">
        <v>27</v>
      </c>
      <c r="F36" s="272"/>
    </row>
    <row r="37" spans="1:6" ht="15.75" customHeight="1">
      <c r="A37" s="21"/>
      <c r="B37" s="20" t="s">
        <v>3</v>
      </c>
      <c r="C37" s="20" t="s">
        <v>4</v>
      </c>
      <c r="D37" s="21"/>
      <c r="E37" s="20" t="s">
        <v>3</v>
      </c>
      <c r="F37" s="20" t="s">
        <v>4</v>
      </c>
    </row>
    <row r="38" spans="1:6" ht="15.75" customHeight="1">
      <c r="A38" s="3" t="s">
        <v>16</v>
      </c>
      <c r="B38" s="15"/>
      <c r="C38" s="15"/>
      <c r="D38" s="15"/>
      <c r="E38" s="15"/>
      <c r="F38" s="15"/>
    </row>
    <row r="39" spans="1:6" ht="15.75" customHeight="1">
      <c r="A39" s="13" t="s">
        <v>17</v>
      </c>
      <c r="B39" s="4"/>
      <c r="C39" s="4"/>
      <c r="D39" s="4"/>
      <c r="E39" s="4"/>
      <c r="F39" s="4"/>
    </row>
    <row r="40" spans="1:6" ht="15.75" customHeight="1">
      <c r="A40" s="14" t="s">
        <v>18</v>
      </c>
      <c r="B40" s="4">
        <f>B7</f>
        <v>2000</v>
      </c>
      <c r="C40" s="4">
        <f>C7</f>
        <v>0</v>
      </c>
      <c r="D40" s="4"/>
      <c r="E40" s="4">
        <f>-B41</f>
        <v>2000</v>
      </c>
      <c r="F40" s="4">
        <f>-C41</f>
        <v>0</v>
      </c>
    </row>
    <row r="41" spans="1:6" ht="15.75" customHeight="1">
      <c r="A41" s="14" t="s">
        <v>19</v>
      </c>
      <c r="B41" s="4">
        <f>-B7*$B$24</f>
        <v>-2000</v>
      </c>
      <c r="C41" s="4">
        <f>-C7*$B$24</f>
        <v>0</v>
      </c>
      <c r="D41" s="4"/>
      <c r="E41" s="4"/>
      <c r="F41" s="4"/>
    </row>
    <row r="42" spans="1:6" ht="15.75" customHeight="1">
      <c r="A42" s="13" t="s">
        <v>20</v>
      </c>
      <c r="B42" s="4">
        <f>B40+B41</f>
        <v>0</v>
      </c>
      <c r="C42" s="4">
        <f>C40+C41</f>
        <v>0</v>
      </c>
      <c r="D42" s="4"/>
      <c r="E42" s="4">
        <f>E40+E41</f>
        <v>2000</v>
      </c>
      <c r="F42" s="4">
        <f>F40+F41</f>
        <v>0</v>
      </c>
    </row>
    <row r="43" spans="1:6" ht="15.75" customHeight="1">
      <c r="A43" s="13" t="s">
        <v>21</v>
      </c>
      <c r="B43" s="4"/>
      <c r="C43" s="4">
        <f>B65*C12</f>
        <v>-10</v>
      </c>
      <c r="D43" s="4"/>
      <c r="E43" s="4"/>
      <c r="F43" s="4"/>
    </row>
    <row r="44" spans="1:6" ht="15.75" customHeight="1">
      <c r="A44" s="13" t="s">
        <v>22</v>
      </c>
      <c r="B44" s="4"/>
      <c r="C44" s="4">
        <f>B10*C12</f>
        <v>150</v>
      </c>
      <c r="D44" s="4"/>
      <c r="E44" s="4"/>
      <c r="F44" s="4"/>
    </row>
    <row r="45" spans="1:6" ht="15.75" customHeight="1">
      <c r="A45" s="13" t="s">
        <v>23</v>
      </c>
      <c r="B45" s="4">
        <f>B7*B15*$B$24</f>
        <v>200</v>
      </c>
      <c r="C45" s="4">
        <f>C7*C15*$B$24</f>
        <v>0</v>
      </c>
      <c r="D45" s="4"/>
      <c r="E45" s="4"/>
      <c r="F45" s="4"/>
    </row>
    <row r="46" spans="1:6" ht="15.75" customHeight="1">
      <c r="A46" s="13" t="s">
        <v>24</v>
      </c>
      <c r="B46" s="4">
        <f>B32</f>
        <v>1500</v>
      </c>
      <c r="C46" s="4">
        <f>C32</f>
        <v>225</v>
      </c>
      <c r="D46" s="4"/>
      <c r="E46" s="4"/>
      <c r="F46" s="4"/>
    </row>
    <row r="47" spans="1:6" ht="15.75" customHeight="1">
      <c r="A47" s="13" t="s">
        <v>25</v>
      </c>
      <c r="B47" s="4"/>
      <c r="C47" s="4"/>
      <c r="D47" s="4"/>
      <c r="E47" s="4"/>
      <c r="F47" s="4"/>
    </row>
    <row r="48" spans="1:6" ht="15.75" customHeight="1">
      <c r="A48" s="21" t="s">
        <v>26</v>
      </c>
      <c r="B48" s="22">
        <f>SUM(B42:B47)</f>
        <v>1700</v>
      </c>
      <c r="C48" s="22">
        <f>SUM(C42:C47)</f>
        <v>365</v>
      </c>
      <c r="D48" s="22"/>
      <c r="E48" s="22">
        <f>SUM(E42:E47)</f>
        <v>2000</v>
      </c>
      <c r="F48" s="22">
        <f>SUM(F42:F47)</f>
        <v>0</v>
      </c>
    </row>
    <row r="49" spans="1:6" ht="15.75" customHeight="1">
      <c r="A49" s="2"/>
      <c r="B49" s="4"/>
      <c r="C49" s="4"/>
      <c r="D49" s="4"/>
      <c r="E49" s="4"/>
      <c r="F49" s="4"/>
    </row>
    <row r="50" spans="1:6" ht="15.75" customHeight="1">
      <c r="A50" s="16" t="s">
        <v>29</v>
      </c>
      <c r="B50" s="15"/>
      <c r="C50" s="15"/>
      <c r="D50" s="15"/>
      <c r="E50" s="15"/>
      <c r="F50" s="15"/>
    </row>
    <row r="51" spans="1:6" ht="15.75" customHeight="1">
      <c r="A51" s="13" t="s">
        <v>30</v>
      </c>
      <c r="B51" s="4"/>
      <c r="C51" s="4"/>
      <c r="D51" s="4"/>
      <c r="E51" s="4"/>
      <c r="F51" s="4"/>
    </row>
    <row r="52" spans="1:6" ht="15.75" customHeight="1">
      <c r="A52" s="14" t="s">
        <v>18</v>
      </c>
      <c r="B52" s="4">
        <f>B11</f>
        <v>0</v>
      </c>
      <c r="C52" s="4">
        <f>C11</f>
        <v>50</v>
      </c>
      <c r="D52" s="4"/>
      <c r="E52" s="4">
        <f>-B53</f>
        <v>0</v>
      </c>
      <c r="F52" s="4">
        <f>-C53</f>
        <v>50</v>
      </c>
    </row>
    <row r="53" spans="1:6" ht="15.75" customHeight="1">
      <c r="A53" s="14" t="s">
        <v>19</v>
      </c>
      <c r="B53" s="4">
        <f>-B11*$B$24</f>
        <v>0</v>
      </c>
      <c r="C53" s="4">
        <f>-C11*$B$24</f>
        <v>-50</v>
      </c>
      <c r="D53" s="4"/>
      <c r="E53" s="4"/>
      <c r="F53" s="4"/>
    </row>
    <row r="54" spans="1:6" ht="15.75" customHeight="1">
      <c r="A54" s="13" t="s">
        <v>31</v>
      </c>
      <c r="B54" s="4">
        <f>B52+B53</f>
        <v>0</v>
      </c>
      <c r="C54" s="4">
        <f>C52+C53</f>
        <v>0</v>
      </c>
      <c r="D54" s="4"/>
      <c r="E54" s="4">
        <f>E52+E53</f>
        <v>0</v>
      </c>
      <c r="F54" s="4">
        <f>F52+F53</f>
        <v>50</v>
      </c>
    </row>
    <row r="55" spans="1:6" ht="15.75" customHeight="1">
      <c r="A55" s="13" t="s">
        <v>32</v>
      </c>
      <c r="B55" s="4">
        <f>B10</f>
        <v>1500</v>
      </c>
      <c r="C55" s="4">
        <f>C10-B10</f>
        <v>300</v>
      </c>
      <c r="D55" s="4"/>
      <c r="E55" s="4"/>
      <c r="F55" s="4"/>
    </row>
    <row r="56" spans="1:6" ht="15.75" customHeight="1">
      <c r="A56" s="13" t="s">
        <v>24</v>
      </c>
      <c r="B56" s="4"/>
      <c r="C56" s="4"/>
      <c r="D56" s="4"/>
      <c r="E56" s="4">
        <f>B32</f>
        <v>1500</v>
      </c>
      <c r="F56" s="4">
        <f>C32</f>
        <v>225</v>
      </c>
    </row>
    <row r="57" spans="1:6" ht="15.75" customHeight="1">
      <c r="A57" s="13" t="s">
        <v>25</v>
      </c>
      <c r="B57" s="4"/>
      <c r="C57" s="4"/>
      <c r="D57" s="4"/>
      <c r="E57" s="4"/>
      <c r="F57" s="4"/>
    </row>
    <row r="58" spans="1:6" ht="15.75" customHeight="1">
      <c r="A58" s="21" t="s">
        <v>33</v>
      </c>
      <c r="B58" s="22">
        <f>SUM(B54:B57)</f>
        <v>1500</v>
      </c>
      <c r="C58" s="22">
        <f>SUM(C54:C57)</f>
        <v>300</v>
      </c>
      <c r="D58" s="22"/>
      <c r="E58" s="22">
        <f>SUM(E54:E57)</f>
        <v>1500</v>
      </c>
      <c r="F58" s="22">
        <f>SUM(F54:F57)</f>
        <v>275</v>
      </c>
    </row>
    <row r="59" spans="1:6" ht="15.75" customHeight="1">
      <c r="A59" s="17"/>
      <c r="B59" s="4"/>
      <c r="C59" s="4"/>
      <c r="D59" s="4"/>
      <c r="E59" s="4"/>
      <c r="F59" s="4"/>
    </row>
    <row r="60" spans="1:6" ht="15.75" customHeight="1">
      <c r="A60" s="16" t="s">
        <v>6</v>
      </c>
      <c r="B60" s="15"/>
      <c r="C60" s="15"/>
      <c r="D60" s="15"/>
      <c r="E60" s="15"/>
      <c r="F60" s="15"/>
    </row>
    <row r="61" spans="1:6" ht="15.75" customHeight="1">
      <c r="A61" s="13" t="s">
        <v>6</v>
      </c>
      <c r="B61" s="4">
        <f>B8</f>
        <v>50</v>
      </c>
      <c r="C61" s="4">
        <f t="shared" ref="C61:C62" si="0">C8</f>
        <v>10</v>
      </c>
      <c r="D61" s="4"/>
      <c r="E61" s="4">
        <f>B7*B15*$B$24</f>
        <v>200</v>
      </c>
      <c r="F61" s="4">
        <f>C7*C15*$B$24</f>
        <v>0</v>
      </c>
    </row>
    <row r="62" spans="1:6" ht="15.75" customHeight="1">
      <c r="A62" s="13" t="s">
        <v>7</v>
      </c>
      <c r="B62" s="4">
        <f t="shared" ref="B62" si="1">B9</f>
        <v>250</v>
      </c>
      <c r="C62" s="4">
        <f t="shared" si="0"/>
        <v>0</v>
      </c>
      <c r="D62" s="4"/>
      <c r="E62" s="4"/>
      <c r="F62" s="4"/>
    </row>
    <row r="63" spans="1:6" ht="15.75" customHeight="1">
      <c r="A63" s="21" t="s">
        <v>34</v>
      </c>
      <c r="B63" s="22">
        <f>SUM(B61:B62)</f>
        <v>300</v>
      </c>
      <c r="C63" s="22">
        <f>SUM(C61:C62)</f>
        <v>10</v>
      </c>
      <c r="D63" s="22"/>
      <c r="E63" s="22">
        <f t="shared" ref="E63:F63" si="2">SUM(E61:E62)</f>
        <v>200</v>
      </c>
      <c r="F63" s="22">
        <f t="shared" si="2"/>
        <v>0</v>
      </c>
    </row>
    <row r="64" spans="1:6" ht="15.75" customHeight="1">
      <c r="A64" s="17"/>
      <c r="B64" s="4"/>
      <c r="C64" s="4"/>
      <c r="D64" s="4"/>
      <c r="E64" s="4"/>
      <c r="F64" s="4"/>
    </row>
    <row r="65" spans="1:6" ht="15.75" customHeight="1">
      <c r="A65" s="21" t="s">
        <v>15</v>
      </c>
      <c r="B65" s="22">
        <f>B48-B58-B63</f>
        <v>-100</v>
      </c>
      <c r="C65" s="22">
        <f>C48-C58-C63</f>
        <v>55</v>
      </c>
      <c r="D65" s="22"/>
      <c r="E65" s="22">
        <f>E48-E58-E63</f>
        <v>300</v>
      </c>
      <c r="F65" s="22">
        <f>F48-F58-F63</f>
        <v>-275</v>
      </c>
    </row>
    <row r="68" spans="1:6" ht="15.75" customHeight="1">
      <c r="A68" s="21"/>
      <c r="B68" s="272" t="s">
        <v>39</v>
      </c>
      <c r="C68" s="272"/>
      <c r="D68" s="272"/>
      <c r="E68" s="272"/>
      <c r="F68" s="272"/>
    </row>
    <row r="69" spans="1:6" ht="15.75" customHeight="1">
      <c r="A69" s="21"/>
      <c r="B69" s="272" t="s">
        <v>2</v>
      </c>
      <c r="C69" s="272"/>
      <c r="D69" s="23"/>
      <c r="E69" s="272" t="s">
        <v>27</v>
      </c>
      <c r="F69" s="272"/>
    </row>
    <row r="70" spans="1:6" ht="15.75" customHeight="1">
      <c r="A70" s="21"/>
      <c r="B70" s="20" t="s">
        <v>3</v>
      </c>
      <c r="C70" s="20" t="s">
        <v>4</v>
      </c>
      <c r="D70" s="21"/>
      <c r="E70" s="20" t="s">
        <v>3</v>
      </c>
      <c r="F70" s="20" t="s">
        <v>4</v>
      </c>
    </row>
    <row r="71" spans="1:6" ht="15.75" customHeight="1">
      <c r="A71" s="3" t="s">
        <v>40</v>
      </c>
      <c r="B71" s="15"/>
      <c r="C71" s="15"/>
      <c r="D71" s="15"/>
      <c r="E71" s="15"/>
      <c r="F71" s="15"/>
    </row>
    <row r="72" spans="1:6" ht="15.75" customHeight="1">
      <c r="A72" s="13" t="s">
        <v>41</v>
      </c>
      <c r="B72" s="4"/>
      <c r="C72" s="4"/>
      <c r="D72" s="4"/>
      <c r="E72" s="4">
        <f>E65</f>
        <v>300</v>
      </c>
      <c r="F72" s="4">
        <f>E82+F65</f>
        <v>25</v>
      </c>
    </row>
    <row r="73" spans="1:6" ht="15.75" customHeight="1">
      <c r="A73" s="13" t="s">
        <v>42</v>
      </c>
      <c r="B73" s="4"/>
      <c r="C73" s="4"/>
      <c r="D73" s="4"/>
      <c r="E73" s="4"/>
      <c r="F73" s="4"/>
    </row>
    <row r="74" spans="1:6" ht="15.75" customHeight="1">
      <c r="A74" s="21" t="s">
        <v>43</v>
      </c>
      <c r="B74" s="22">
        <f>SUM(B72:B73)</f>
        <v>0</v>
      </c>
      <c r="C74" s="22">
        <f>SUM(C72:C73)</f>
        <v>0</v>
      </c>
      <c r="D74" s="22"/>
      <c r="E74" s="22">
        <f>SUM(E72:E73)</f>
        <v>300</v>
      </c>
      <c r="F74" s="22">
        <f>SUM(F72:F73)</f>
        <v>25</v>
      </c>
    </row>
    <row r="75" spans="1:6" ht="15.75" customHeight="1">
      <c r="A75" s="17"/>
      <c r="B75" s="4"/>
      <c r="C75" s="4"/>
      <c r="D75" s="4"/>
      <c r="E75" s="4"/>
      <c r="F75" s="4"/>
    </row>
    <row r="76" spans="1:6" ht="15.75" customHeight="1">
      <c r="A76" s="3" t="s">
        <v>44</v>
      </c>
      <c r="B76" s="15"/>
      <c r="C76" s="15"/>
      <c r="D76" s="15"/>
      <c r="E76" s="15"/>
      <c r="F76" s="15"/>
    </row>
    <row r="77" spans="1:6" ht="15.75" customHeight="1">
      <c r="A77" s="13" t="s">
        <v>8</v>
      </c>
      <c r="B77" s="4"/>
      <c r="C77" s="4"/>
      <c r="D77" s="4"/>
      <c r="E77" s="4"/>
      <c r="F77" s="4"/>
    </row>
    <row r="78" spans="1:6" ht="15.75" customHeight="1">
      <c r="A78" s="13" t="s">
        <v>45</v>
      </c>
      <c r="B78" s="4"/>
      <c r="C78" s="4"/>
      <c r="D78" s="4"/>
      <c r="E78" s="4"/>
      <c r="F78" s="4"/>
    </row>
    <row r="79" spans="1:6" ht="15.75" customHeight="1">
      <c r="A79" s="21" t="s">
        <v>46</v>
      </c>
      <c r="B79" s="22">
        <f>SUM(B77:B78)</f>
        <v>0</v>
      </c>
      <c r="C79" s="22">
        <f>SUM(C77:C78)</f>
        <v>0</v>
      </c>
      <c r="D79" s="22"/>
      <c r="E79" s="22">
        <f>SUM(E77:E78)</f>
        <v>0</v>
      </c>
      <c r="F79" s="22">
        <f>SUM(F77:F78)</f>
        <v>0</v>
      </c>
    </row>
    <row r="80" spans="1:6" ht="15.75" customHeight="1">
      <c r="A80" s="17"/>
      <c r="B80" s="4"/>
      <c r="C80" s="4"/>
      <c r="D80" s="4"/>
      <c r="E80" s="4"/>
      <c r="F80" s="4"/>
    </row>
    <row r="81" spans="1:6" ht="15.75" customHeight="1">
      <c r="A81" s="24" t="s">
        <v>47</v>
      </c>
      <c r="B81" s="25"/>
      <c r="C81" s="25"/>
      <c r="D81" s="25"/>
      <c r="E81" s="25">
        <f>E65</f>
        <v>300</v>
      </c>
      <c r="F81" s="25">
        <f>E82+F65</f>
        <v>25</v>
      </c>
    </row>
    <row r="82" spans="1:6" ht="15.75" customHeight="1">
      <c r="A82" s="21" t="s">
        <v>48</v>
      </c>
      <c r="B82" s="22">
        <f>SUM(B81)</f>
        <v>0</v>
      </c>
      <c r="C82" s="22">
        <f>SUM(C81)</f>
        <v>0</v>
      </c>
      <c r="D82" s="22"/>
      <c r="E82" s="22">
        <f>SUM(E81)</f>
        <v>300</v>
      </c>
      <c r="F82" s="22">
        <f>SUM(F81)</f>
        <v>25</v>
      </c>
    </row>
    <row r="83" spans="1:6" ht="15.75" customHeight="1">
      <c r="A83" s="24"/>
      <c r="B83" s="15"/>
      <c r="C83" s="15"/>
      <c r="D83" s="15"/>
      <c r="E83" s="15"/>
      <c r="F83" s="15"/>
    </row>
    <row r="84" spans="1:6" ht="15.75" customHeight="1">
      <c r="A84" s="21" t="s">
        <v>49</v>
      </c>
      <c r="B84" s="22">
        <f>B79+B82</f>
        <v>0</v>
      </c>
      <c r="C84" s="22">
        <f>C79+C82</f>
        <v>0</v>
      </c>
      <c r="D84" s="22"/>
      <c r="E84" s="22">
        <f>E79+E82</f>
        <v>300</v>
      </c>
      <c r="F84" s="22">
        <f>F79+F82</f>
        <v>25</v>
      </c>
    </row>
  </sheetData>
  <mergeCells count="7">
    <mergeCell ref="B27:C27"/>
    <mergeCell ref="B68:F68"/>
    <mergeCell ref="B69:C69"/>
    <mergeCell ref="E69:F69"/>
    <mergeCell ref="B36:C36"/>
    <mergeCell ref="E36:F36"/>
    <mergeCell ref="B35:F35"/>
  </mergeCells>
  <pageMargins left="0.7" right="0.7" top="0.75" bottom="0.75" header="0.3" footer="0.3"/>
  <pageSetup scale="59" orientation="portrait" r:id="rId1"/>
  <headerFooter>
    <oddFooter>&amp;L&amp;1#&amp;"FS Elliot Pro"&amp;9&amp;K737373Classification: Personal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4A112-758D-4A4C-A527-93D11942ABB6}">
  <dimension ref="A1:G40"/>
  <sheetViews>
    <sheetView workbookViewId="0"/>
  </sheetViews>
  <sheetFormatPr defaultColWidth="8.77734375" defaultRowHeight="14.4"/>
  <cols>
    <col min="1" max="1" width="24" style="48" customWidth="1"/>
    <col min="2" max="2" width="9" style="48" bestFit="1" customWidth="1"/>
    <col min="3" max="16384" width="8.77734375" style="48"/>
  </cols>
  <sheetData>
    <row r="1" spans="1:7" ht="17.399999999999999">
      <c r="A1" s="46" t="s">
        <v>54</v>
      </c>
      <c r="B1" s="47"/>
      <c r="C1" s="47"/>
      <c r="D1" s="47"/>
      <c r="E1" s="47"/>
      <c r="F1" s="47"/>
      <c r="G1" s="47"/>
    </row>
    <row r="2" spans="1:7" ht="15.6">
      <c r="A2" s="49"/>
      <c r="B2" s="47"/>
      <c r="C2" s="47"/>
      <c r="D2" s="47"/>
      <c r="E2" s="47"/>
      <c r="F2" s="47"/>
      <c r="G2" s="47"/>
    </row>
    <row r="3" spans="1:7" ht="15.6">
      <c r="A3" s="49" t="s">
        <v>55</v>
      </c>
      <c r="B3" s="47"/>
      <c r="C3" s="47"/>
      <c r="D3" s="47"/>
      <c r="E3" s="47"/>
      <c r="F3" s="47"/>
      <c r="G3" s="47"/>
    </row>
    <row r="4" spans="1:7" ht="15" thickBot="1">
      <c r="A4" s="47"/>
      <c r="B4" s="47"/>
      <c r="C4" s="47"/>
      <c r="D4" s="47"/>
      <c r="E4" s="47"/>
      <c r="F4" s="47"/>
      <c r="G4" s="47"/>
    </row>
    <row r="5" spans="1:7" ht="15.6">
      <c r="A5" s="50" t="s">
        <v>56</v>
      </c>
      <c r="B5" s="51">
        <v>1</v>
      </c>
      <c r="C5" s="51">
        <v>2</v>
      </c>
      <c r="D5" s="51">
        <v>3</v>
      </c>
      <c r="E5" s="51">
        <v>4</v>
      </c>
      <c r="F5" s="52">
        <v>5</v>
      </c>
      <c r="G5" s="47"/>
    </row>
    <row r="6" spans="1:7" ht="15.6">
      <c r="A6" s="53" t="s">
        <v>5</v>
      </c>
      <c r="B6" s="54">
        <v>2000</v>
      </c>
      <c r="C6" s="55">
        <v>2000</v>
      </c>
      <c r="D6" s="54">
        <v>2000</v>
      </c>
      <c r="E6" s="54">
        <v>2000</v>
      </c>
      <c r="F6" s="56">
        <v>2000</v>
      </c>
      <c r="G6" s="47"/>
    </row>
    <row r="7" spans="1:7" ht="15.6">
      <c r="A7" s="53" t="s">
        <v>29</v>
      </c>
      <c r="B7" s="54">
        <v>1200</v>
      </c>
      <c r="C7" s="55">
        <v>1400</v>
      </c>
      <c r="D7" s="54">
        <v>1700</v>
      </c>
      <c r="E7" s="54">
        <v>2000</v>
      </c>
      <c r="F7" s="56">
        <v>2400</v>
      </c>
      <c r="G7" s="47"/>
    </row>
    <row r="8" spans="1:7" ht="15.6">
      <c r="A8" s="53" t="s">
        <v>6</v>
      </c>
      <c r="B8" s="57">
        <v>100</v>
      </c>
      <c r="C8" s="58">
        <v>100</v>
      </c>
      <c r="D8" s="57">
        <v>100</v>
      </c>
      <c r="E8" s="57">
        <v>100</v>
      </c>
      <c r="F8" s="59">
        <v>100</v>
      </c>
      <c r="G8" s="47"/>
    </row>
    <row r="9" spans="1:7" ht="15.6">
      <c r="A9" s="53" t="s">
        <v>57</v>
      </c>
      <c r="B9" s="54">
        <v>1000</v>
      </c>
      <c r="C9" s="55">
        <v>2000</v>
      </c>
      <c r="D9" s="54">
        <v>4000</v>
      </c>
      <c r="E9" s="54">
        <v>1500</v>
      </c>
      <c r="F9" s="59">
        <v>0</v>
      </c>
      <c r="G9" s="47"/>
    </row>
    <row r="10" spans="1:7" ht="15.6">
      <c r="A10" s="53" t="s">
        <v>10</v>
      </c>
      <c r="B10" s="57">
        <v>20</v>
      </c>
      <c r="C10" s="58">
        <v>50</v>
      </c>
      <c r="D10" s="57">
        <v>80</v>
      </c>
      <c r="E10" s="57">
        <v>140</v>
      </c>
      <c r="F10" s="59">
        <v>40</v>
      </c>
      <c r="G10" s="47"/>
    </row>
    <row r="11" spans="1:7" ht="15.6">
      <c r="A11" s="53" t="s">
        <v>58</v>
      </c>
      <c r="B11" s="57">
        <v>920</v>
      </c>
      <c r="C11" s="55">
        <v>1840</v>
      </c>
      <c r="D11" s="54">
        <v>3680</v>
      </c>
      <c r="E11" s="54">
        <v>1380</v>
      </c>
      <c r="F11" s="59">
        <v>0</v>
      </c>
      <c r="G11" s="47"/>
    </row>
    <row r="12" spans="1:7" ht="15.6">
      <c r="A12" s="53" t="s">
        <v>59</v>
      </c>
      <c r="B12" s="60">
        <v>0.21</v>
      </c>
      <c r="C12" s="61">
        <v>0.21</v>
      </c>
      <c r="D12" s="60">
        <v>0.21</v>
      </c>
      <c r="E12" s="60">
        <v>0.21</v>
      </c>
      <c r="F12" s="62">
        <v>0.21</v>
      </c>
      <c r="G12" s="47"/>
    </row>
    <row r="13" spans="1:7" ht="16.2" thickBot="1">
      <c r="A13" s="63" t="s">
        <v>60</v>
      </c>
      <c r="B13" s="64">
        <v>0.03</v>
      </c>
      <c r="C13" s="64">
        <v>0.03</v>
      </c>
      <c r="D13" s="64">
        <v>0.03</v>
      </c>
      <c r="E13" s="64">
        <v>0.03</v>
      </c>
      <c r="F13" s="65">
        <v>0.03</v>
      </c>
      <c r="G13" s="47"/>
    </row>
    <row r="14" spans="1:7" ht="15.6">
      <c r="A14" s="49"/>
      <c r="B14" s="49"/>
      <c r="C14" s="49"/>
      <c r="D14" s="49"/>
      <c r="E14" s="49"/>
      <c r="F14" s="49"/>
      <c r="G14" s="49"/>
    </row>
    <row r="15" spans="1:7" ht="15.6">
      <c r="A15" s="49" t="s">
        <v>61</v>
      </c>
      <c r="B15" s="49"/>
      <c r="C15" s="49"/>
      <c r="D15" s="49"/>
      <c r="E15" s="49"/>
      <c r="F15" s="49"/>
      <c r="G15" s="49"/>
    </row>
    <row r="16" spans="1:7" ht="15.6">
      <c r="A16" s="66" t="s">
        <v>62</v>
      </c>
      <c r="B16" s="49"/>
      <c r="C16" s="49"/>
      <c r="D16" s="49"/>
      <c r="E16" s="49"/>
      <c r="F16" s="49"/>
      <c r="G16" s="49"/>
    </row>
    <row r="17" spans="1:7" ht="15.6">
      <c r="A17" s="66" t="s">
        <v>63</v>
      </c>
      <c r="B17" s="49"/>
      <c r="C17" s="49"/>
      <c r="D17" s="49"/>
      <c r="E17" s="49"/>
      <c r="F17" s="49"/>
      <c r="G17" s="49"/>
    </row>
    <row r="18" spans="1:7" ht="15.6">
      <c r="A18" s="66" t="s">
        <v>64</v>
      </c>
      <c r="B18" s="49"/>
      <c r="C18" s="49"/>
      <c r="D18" s="49"/>
      <c r="E18" s="49"/>
      <c r="F18" s="49"/>
      <c r="G18" s="49"/>
    </row>
    <row r="19" spans="1:7" ht="15.6">
      <c r="A19" s="66" t="s">
        <v>65</v>
      </c>
      <c r="B19" s="49"/>
      <c r="C19" s="49"/>
      <c r="D19" s="49"/>
      <c r="E19" s="49"/>
      <c r="F19" s="49"/>
      <c r="G19" s="49"/>
    </row>
    <row r="20" spans="1:7" ht="15.6">
      <c r="A20" s="49"/>
      <c r="B20" s="49"/>
      <c r="C20" s="49"/>
      <c r="D20" s="49"/>
      <c r="E20" s="49"/>
      <c r="F20" s="49"/>
      <c r="G20" s="49"/>
    </row>
    <row r="21" spans="1:7" ht="15.6">
      <c r="A21" s="49"/>
      <c r="B21" s="49"/>
      <c r="C21" s="49"/>
      <c r="D21" s="49"/>
      <c r="E21" s="49"/>
      <c r="F21" s="49"/>
      <c r="G21" s="49"/>
    </row>
    <row r="22" spans="1:7" ht="15.6">
      <c r="A22" s="49"/>
      <c r="B22" s="49"/>
      <c r="C22" s="49"/>
      <c r="D22" s="49"/>
      <c r="E22" s="49"/>
      <c r="F22" s="49"/>
      <c r="G22" s="49"/>
    </row>
    <row r="23" spans="1:7" ht="15.6">
      <c r="A23" s="49" t="s">
        <v>66</v>
      </c>
      <c r="B23" s="47"/>
      <c r="C23" s="47"/>
      <c r="D23" s="47"/>
      <c r="E23" s="47"/>
      <c r="F23" s="47"/>
      <c r="G23" s="47"/>
    </row>
    <row r="24" spans="1:7" ht="15.6">
      <c r="A24" s="67" t="s">
        <v>52</v>
      </c>
    </row>
    <row r="25" spans="1:7" ht="15" thickBot="1"/>
    <row r="26" spans="1:7" ht="16.2" thickBot="1">
      <c r="A26" s="68" t="s">
        <v>67</v>
      </c>
      <c r="B26" s="69"/>
    </row>
    <row r="40" spans="1:6" ht="15.6">
      <c r="A40" s="70" t="s">
        <v>68</v>
      </c>
      <c r="B40" s="47"/>
      <c r="C40" s="47"/>
      <c r="D40" s="47"/>
      <c r="E40" s="47"/>
      <c r="F40" s="47"/>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1C85D-681C-42F5-9086-7C715F7CE003}">
  <dimension ref="B1:I24"/>
  <sheetViews>
    <sheetView workbookViewId="0"/>
  </sheetViews>
  <sheetFormatPr defaultColWidth="8.77734375" defaultRowHeight="13.2"/>
  <cols>
    <col min="1" max="1" width="8.77734375" style="71"/>
    <col min="2" max="2" width="22.21875" style="71" bestFit="1" customWidth="1"/>
    <col min="3" max="3" width="7.44140625" style="71" customWidth="1"/>
    <col min="4" max="4" width="7" style="71" bestFit="1" customWidth="1"/>
    <col min="5" max="7" width="6.21875" style="71" bestFit="1" customWidth="1"/>
    <col min="8" max="8" width="8.77734375" style="71"/>
    <col min="9" max="9" width="9.5546875" style="71" bestFit="1" customWidth="1"/>
    <col min="10" max="16384" width="8.77734375" style="71"/>
  </cols>
  <sheetData>
    <row r="1" spans="2:9" ht="13.8" thickBot="1"/>
    <row r="2" spans="2:9" ht="16.2" thickBot="1">
      <c r="B2" s="72"/>
      <c r="C2" s="73">
        <v>1</v>
      </c>
      <c r="D2" s="73">
        <v>2</v>
      </c>
      <c r="E2" s="73">
        <v>3</v>
      </c>
      <c r="F2" s="73">
        <v>4</v>
      </c>
      <c r="G2" s="73">
        <v>5</v>
      </c>
    </row>
    <row r="3" spans="2:9" ht="16.2" thickBot="1">
      <c r="B3" s="74" t="s">
        <v>5</v>
      </c>
      <c r="C3" s="75">
        <v>2000</v>
      </c>
      <c r="D3" s="75">
        <v>2000</v>
      </c>
      <c r="E3" s="75">
        <v>2000</v>
      </c>
      <c r="F3" s="75">
        <v>2000</v>
      </c>
      <c r="G3" s="75">
        <v>2000</v>
      </c>
    </row>
    <row r="4" spans="2:9" ht="16.2" thickBot="1">
      <c r="B4" s="74" t="s">
        <v>29</v>
      </c>
      <c r="C4" s="75">
        <v>1200</v>
      </c>
      <c r="D4" s="75">
        <v>1400</v>
      </c>
      <c r="E4" s="75">
        <v>1700</v>
      </c>
      <c r="F4" s="75">
        <v>2000</v>
      </c>
      <c r="G4" s="75">
        <v>2400</v>
      </c>
    </row>
    <row r="5" spans="2:9" ht="16.2" thickBot="1">
      <c r="B5" s="74" t="s">
        <v>6</v>
      </c>
      <c r="C5" s="75">
        <v>100</v>
      </c>
      <c r="D5" s="75">
        <v>100</v>
      </c>
      <c r="E5" s="75">
        <v>100</v>
      </c>
      <c r="F5" s="75">
        <v>100</v>
      </c>
      <c r="G5" s="75">
        <v>100</v>
      </c>
    </row>
    <row r="6" spans="2:9" ht="16.2" thickBot="1">
      <c r="B6" s="74" t="s">
        <v>69</v>
      </c>
      <c r="C6" s="75">
        <v>1000</v>
      </c>
      <c r="D6" s="75">
        <v>2000</v>
      </c>
      <c r="E6" s="75">
        <v>4000</v>
      </c>
      <c r="F6" s="75">
        <v>1500</v>
      </c>
      <c r="G6" s="75">
        <v>0</v>
      </c>
      <c r="I6" s="76"/>
    </row>
    <row r="7" spans="2:9" ht="16.2" thickBot="1">
      <c r="B7" s="74" t="s">
        <v>70</v>
      </c>
      <c r="C7" s="75">
        <v>20</v>
      </c>
      <c r="D7" s="75">
        <v>50</v>
      </c>
      <c r="E7" s="75">
        <v>80</v>
      </c>
      <c r="F7" s="75">
        <v>140</v>
      </c>
      <c r="G7" s="75">
        <v>40</v>
      </c>
    </row>
    <row r="8" spans="2:9" ht="16.2" thickBot="1">
      <c r="B8" s="74" t="s">
        <v>58</v>
      </c>
      <c r="C8" s="75">
        <v>920</v>
      </c>
      <c r="D8" s="75">
        <v>1840</v>
      </c>
      <c r="E8" s="75">
        <v>3680</v>
      </c>
      <c r="F8" s="75">
        <v>1380</v>
      </c>
      <c r="G8" s="75">
        <v>0</v>
      </c>
    </row>
    <row r="9" spans="2:9" ht="16.2" thickBot="1">
      <c r="B9" s="74" t="s">
        <v>59</v>
      </c>
      <c r="C9" s="77">
        <v>0.21</v>
      </c>
      <c r="D9" s="78"/>
      <c r="E9" s="78"/>
      <c r="F9" s="78"/>
      <c r="G9" s="78"/>
    </row>
    <row r="10" spans="2:9" ht="16.2" thickBot="1">
      <c r="B10" s="74" t="s">
        <v>60</v>
      </c>
      <c r="C10" s="77">
        <v>0.03</v>
      </c>
      <c r="D10" s="78"/>
      <c r="E10" s="78"/>
      <c r="F10" s="78"/>
      <c r="G10" s="78"/>
    </row>
    <row r="11" spans="2:9">
      <c r="C11" s="79"/>
      <c r="D11" s="79"/>
      <c r="E11" s="79"/>
      <c r="F11" s="79"/>
      <c r="G11" s="79"/>
    </row>
    <row r="12" spans="2:9" ht="15.6">
      <c r="B12" s="80"/>
    </row>
    <row r="13" spans="2:9" ht="15.6">
      <c r="B13" s="80" t="s">
        <v>71</v>
      </c>
      <c r="C13" s="79">
        <f>C3-C4-C5</f>
        <v>700</v>
      </c>
      <c r="D13" s="79">
        <f>D3-D4-D5</f>
        <v>500</v>
      </c>
      <c r="E13" s="79">
        <f>E3-E4-E5</f>
        <v>200</v>
      </c>
      <c r="F13" s="79">
        <f>F3-F4-F5</f>
        <v>-100</v>
      </c>
      <c r="G13" s="79">
        <f>G3-G4-G5</f>
        <v>-500</v>
      </c>
      <c r="H13" s="71" t="s">
        <v>72</v>
      </c>
    </row>
    <row r="14" spans="2:9" ht="15.6">
      <c r="B14" s="80" t="s">
        <v>73</v>
      </c>
      <c r="C14" s="79">
        <f>C6</f>
        <v>1000</v>
      </c>
      <c r="D14" s="79">
        <f>D6-C6</f>
        <v>1000</v>
      </c>
      <c r="E14" s="79">
        <f>E6-D6</f>
        <v>2000</v>
      </c>
      <c r="F14" s="79">
        <f>F6-E6</f>
        <v>-2500</v>
      </c>
      <c r="G14" s="79">
        <f>G6-F6</f>
        <v>-1500</v>
      </c>
    </row>
    <row r="15" spans="2:9" ht="15.6">
      <c r="B15" s="80" t="s">
        <v>70</v>
      </c>
      <c r="C15" s="79">
        <f>C7</f>
        <v>20</v>
      </c>
      <c r="D15" s="79">
        <f>D7</f>
        <v>50</v>
      </c>
      <c r="E15" s="79">
        <f>E7</f>
        <v>80</v>
      </c>
      <c r="F15" s="79">
        <f>F7</f>
        <v>140</v>
      </c>
      <c r="G15" s="79">
        <f>G7</f>
        <v>40</v>
      </c>
    </row>
    <row r="16" spans="2:9" ht="15.6">
      <c r="B16" s="80" t="s">
        <v>74</v>
      </c>
      <c r="C16" s="79">
        <f>C13-C14+C15</f>
        <v>-280</v>
      </c>
      <c r="D16" s="79">
        <f>D13-D14+D15</f>
        <v>-450</v>
      </c>
      <c r="E16" s="79">
        <f>E13-E14+E15</f>
        <v>-1720</v>
      </c>
      <c r="F16" s="79">
        <f>F13-F14+F15</f>
        <v>2540</v>
      </c>
      <c r="G16" s="79">
        <f>G13-G14+G15</f>
        <v>1040</v>
      </c>
      <c r="H16" s="71" t="s">
        <v>72</v>
      </c>
    </row>
    <row r="17" spans="2:8" ht="15.6">
      <c r="B17" s="80" t="s">
        <v>75</v>
      </c>
      <c r="C17" s="79">
        <f>C8</f>
        <v>920</v>
      </c>
      <c r="D17" s="79">
        <f>D8-C8</f>
        <v>920</v>
      </c>
      <c r="E17" s="79">
        <f>E8-D8</f>
        <v>1840</v>
      </c>
      <c r="F17" s="79">
        <f>F8-E8</f>
        <v>-2300</v>
      </c>
      <c r="G17" s="79">
        <f>G8-F8</f>
        <v>-1380</v>
      </c>
    </row>
    <row r="18" spans="2:8" ht="15.6">
      <c r="B18" s="80" t="s">
        <v>76</v>
      </c>
      <c r="C18" s="79">
        <f>C13-C17+C15</f>
        <v>-200</v>
      </c>
      <c r="D18" s="79">
        <f>D13-D17+D15</f>
        <v>-370</v>
      </c>
      <c r="E18" s="79">
        <f>E13-E17+E15</f>
        <v>-1560</v>
      </c>
      <c r="F18" s="79">
        <f>F13-F17+F15</f>
        <v>2340</v>
      </c>
      <c r="G18" s="79">
        <f>G13-G17+G15</f>
        <v>920</v>
      </c>
    </row>
    <row r="19" spans="2:8" ht="15.6">
      <c r="B19" s="80" t="s">
        <v>77</v>
      </c>
      <c r="C19" s="71">
        <f>0.21*C18</f>
        <v>-42</v>
      </c>
      <c r="D19" s="71">
        <f>0.21*D18</f>
        <v>-77.7</v>
      </c>
      <c r="E19" s="71">
        <f>0.21*E18</f>
        <v>-327.59999999999997</v>
      </c>
      <c r="F19" s="71">
        <f>0.21*F18</f>
        <v>491.4</v>
      </c>
      <c r="G19" s="71">
        <f>0.21*G18</f>
        <v>193.2</v>
      </c>
    </row>
    <row r="20" spans="2:8" ht="15.6">
      <c r="B20" s="80" t="s">
        <v>78</v>
      </c>
      <c r="C20" s="79">
        <f>C16-C19</f>
        <v>-238</v>
      </c>
      <c r="D20" s="79">
        <f t="shared" ref="D20:G20" si="0">D16-D19</f>
        <v>-372.3</v>
      </c>
      <c r="E20" s="79">
        <f t="shared" si="0"/>
        <v>-1392.4</v>
      </c>
      <c r="F20" s="79">
        <f t="shared" si="0"/>
        <v>2048.6</v>
      </c>
      <c r="G20" s="79">
        <f t="shared" si="0"/>
        <v>846.8</v>
      </c>
      <c r="H20" s="71" t="s">
        <v>72</v>
      </c>
    </row>
    <row r="22" spans="2:8" ht="15.6">
      <c r="B22" s="80" t="s">
        <v>79</v>
      </c>
      <c r="C22" s="79">
        <f>NPV(0.03,C20:G20)*(1.03^0.5)</f>
        <v>704.71063404443589</v>
      </c>
    </row>
    <row r="23" spans="2:8" ht="15.6">
      <c r="B23" s="80" t="s">
        <v>80</v>
      </c>
      <c r="C23" s="79">
        <f>NPV(0.03,C3:G3)*(1.03^0.5)</f>
        <v>9295.7903285421635</v>
      </c>
    </row>
    <row r="24" spans="2:8">
      <c r="C24" s="81">
        <f>C22/C23</f>
        <v>7.5809652448879397E-2</v>
      </c>
      <c r="D24" s="71" t="s">
        <v>72</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E71AE-94E9-4CA8-91E3-994572E55FB8}">
  <dimension ref="A1:N53"/>
  <sheetViews>
    <sheetView topLeftCell="A38" workbookViewId="0"/>
  </sheetViews>
  <sheetFormatPr defaultColWidth="8.88671875" defaultRowHeight="15.6"/>
  <cols>
    <col min="1" max="2" width="5" style="83" customWidth="1"/>
    <col min="3" max="3" width="14.77734375" style="83" customWidth="1"/>
    <col min="4" max="4" width="10.77734375" style="83" customWidth="1"/>
    <col min="5" max="5" width="18.5546875" style="83" bestFit="1" customWidth="1"/>
    <col min="6" max="6" width="12.33203125" style="83" bestFit="1" customWidth="1"/>
    <col min="7" max="7" width="30" style="83" bestFit="1" customWidth="1"/>
    <col min="8" max="16384" width="8.88671875" style="83"/>
  </cols>
  <sheetData>
    <row r="1" spans="1:14" ht="17.399999999999999">
      <c r="A1" s="46" t="s">
        <v>81</v>
      </c>
      <c r="B1" s="46"/>
      <c r="C1" s="82"/>
      <c r="D1" s="82"/>
      <c r="E1" s="82"/>
      <c r="F1" s="82"/>
      <c r="G1" s="82"/>
      <c r="H1" s="82"/>
      <c r="I1" s="82"/>
      <c r="J1" s="82"/>
      <c r="K1" s="82"/>
      <c r="L1" s="82"/>
      <c r="M1" s="82"/>
      <c r="N1" s="82"/>
    </row>
    <row r="2" spans="1:14">
      <c r="A2" s="82"/>
      <c r="B2" s="82"/>
      <c r="C2" s="82"/>
      <c r="D2" s="82"/>
      <c r="E2" s="82"/>
      <c r="F2" s="82"/>
      <c r="G2" s="82"/>
      <c r="H2" s="82"/>
      <c r="I2" s="82"/>
      <c r="J2" s="82"/>
      <c r="K2" s="82"/>
      <c r="L2" s="82"/>
      <c r="M2" s="82"/>
      <c r="N2" s="82"/>
    </row>
    <row r="3" spans="1:14">
      <c r="A3" s="82"/>
      <c r="B3" s="84"/>
      <c r="C3" s="85"/>
      <c r="D3" s="85"/>
      <c r="E3" s="85"/>
      <c r="F3" s="85"/>
      <c r="G3" s="85"/>
      <c r="H3" s="85"/>
      <c r="I3" s="85"/>
      <c r="J3" s="85"/>
      <c r="K3" s="85"/>
      <c r="L3" s="85"/>
      <c r="M3" s="86"/>
      <c r="N3" s="82"/>
    </row>
    <row r="4" spans="1:14">
      <c r="A4" s="82"/>
      <c r="B4" s="87"/>
      <c r="C4" s="70" t="s">
        <v>82</v>
      </c>
      <c r="D4" s="82"/>
      <c r="E4" s="82"/>
      <c r="F4" s="82"/>
      <c r="G4" s="82"/>
      <c r="H4" s="82"/>
      <c r="I4" s="82"/>
      <c r="J4" s="82"/>
      <c r="K4" s="82"/>
      <c r="L4" s="82"/>
      <c r="M4" s="88"/>
      <c r="N4" s="82"/>
    </row>
    <row r="5" spans="1:14" ht="16.2" thickBot="1">
      <c r="A5" s="82"/>
      <c r="B5" s="87"/>
      <c r="C5" s="82"/>
      <c r="D5" s="82"/>
      <c r="E5" s="82"/>
      <c r="F5" s="82"/>
      <c r="G5" s="82"/>
      <c r="H5" s="82"/>
      <c r="I5" s="82"/>
      <c r="J5" s="82"/>
      <c r="K5" s="82"/>
      <c r="L5" s="82"/>
      <c r="M5" s="88"/>
      <c r="N5" s="82"/>
    </row>
    <row r="6" spans="1:14">
      <c r="A6" s="82"/>
      <c r="B6" s="87"/>
      <c r="C6" s="273" t="s">
        <v>83</v>
      </c>
      <c r="D6" s="275" t="s">
        <v>84</v>
      </c>
      <c r="E6" s="277" t="s">
        <v>85</v>
      </c>
      <c r="F6" s="277"/>
      <c r="G6" s="89" t="s">
        <v>86</v>
      </c>
      <c r="H6" s="82"/>
      <c r="I6" s="82"/>
      <c r="J6" s="82"/>
      <c r="K6" s="82"/>
      <c r="L6" s="82"/>
      <c r="M6" s="88"/>
      <c r="N6" s="82"/>
    </row>
    <row r="7" spans="1:14">
      <c r="A7" s="82"/>
      <c r="B7" s="87"/>
      <c r="C7" s="274"/>
      <c r="D7" s="276"/>
      <c r="E7" s="90" t="s">
        <v>87</v>
      </c>
      <c r="F7" s="90" t="s">
        <v>88</v>
      </c>
      <c r="G7" s="91" t="s">
        <v>89</v>
      </c>
      <c r="H7" s="82"/>
      <c r="I7" s="82"/>
      <c r="J7" s="82"/>
      <c r="K7" s="82"/>
      <c r="L7" s="82"/>
      <c r="M7" s="88"/>
      <c r="N7" s="82"/>
    </row>
    <row r="8" spans="1:14">
      <c r="A8" s="82"/>
      <c r="B8" s="87"/>
      <c r="C8" s="92">
        <v>1</v>
      </c>
      <c r="D8" s="93">
        <v>40</v>
      </c>
      <c r="E8" s="94">
        <v>0</v>
      </c>
      <c r="F8" s="94">
        <v>1</v>
      </c>
      <c r="G8" s="95" t="s">
        <v>90</v>
      </c>
      <c r="H8" s="82"/>
      <c r="I8" s="82"/>
      <c r="J8" s="82"/>
      <c r="K8" s="82"/>
      <c r="L8" s="82"/>
      <c r="M8" s="88"/>
      <c r="N8" s="82"/>
    </row>
    <row r="9" spans="1:14">
      <c r="A9" s="82"/>
      <c r="B9" s="87"/>
      <c r="C9" s="92">
        <v>2</v>
      </c>
      <c r="D9" s="93">
        <v>50</v>
      </c>
      <c r="E9" s="94">
        <v>0.05</v>
      </c>
      <c r="F9" s="94">
        <v>0.95</v>
      </c>
      <c r="G9" s="95" t="s">
        <v>90</v>
      </c>
      <c r="H9" s="82"/>
      <c r="I9" s="82"/>
      <c r="J9" s="82"/>
      <c r="K9" s="82"/>
      <c r="L9" s="82"/>
      <c r="M9" s="88"/>
      <c r="N9" s="82"/>
    </row>
    <row r="10" spans="1:14">
      <c r="A10" s="82"/>
      <c r="B10" s="87"/>
      <c r="C10" s="92">
        <v>3</v>
      </c>
      <c r="D10" s="93">
        <v>60</v>
      </c>
      <c r="E10" s="94">
        <v>0.15</v>
      </c>
      <c r="F10" s="94">
        <v>0.85</v>
      </c>
      <c r="G10" s="95" t="s">
        <v>91</v>
      </c>
      <c r="H10" s="82"/>
      <c r="I10" s="82"/>
      <c r="J10" s="82"/>
      <c r="K10" s="82"/>
      <c r="L10" s="82"/>
      <c r="M10" s="88"/>
      <c r="N10" s="82"/>
    </row>
    <row r="11" spans="1:14" ht="16.2" thickBot="1">
      <c r="A11" s="82"/>
      <c r="B11" s="87"/>
      <c r="C11" s="96">
        <v>4</v>
      </c>
      <c r="D11" s="97">
        <v>70</v>
      </c>
      <c r="E11" s="98">
        <v>0.3</v>
      </c>
      <c r="F11" s="98">
        <v>0.7</v>
      </c>
      <c r="G11" s="99" t="s">
        <v>91</v>
      </c>
      <c r="H11" s="82"/>
      <c r="I11" s="82"/>
      <c r="J11" s="82"/>
      <c r="K11" s="82"/>
      <c r="L11" s="82"/>
      <c r="M11" s="88"/>
      <c r="N11" s="82"/>
    </row>
    <row r="12" spans="1:14">
      <c r="A12" s="82"/>
      <c r="B12" s="87"/>
      <c r="C12" s="82"/>
      <c r="D12" s="82"/>
      <c r="E12" s="82"/>
      <c r="F12" s="82"/>
      <c r="G12" s="82"/>
      <c r="H12" s="82"/>
      <c r="I12" s="82"/>
      <c r="J12" s="82"/>
      <c r="K12" s="82"/>
      <c r="L12" s="82"/>
      <c r="M12" s="88"/>
      <c r="N12" s="82"/>
    </row>
    <row r="13" spans="1:14">
      <c r="A13" s="82"/>
      <c r="B13" s="87"/>
      <c r="C13" s="100" t="s">
        <v>92</v>
      </c>
      <c r="D13" s="82"/>
      <c r="E13" s="82"/>
      <c r="F13" s="82"/>
      <c r="G13" s="82"/>
      <c r="H13" s="82"/>
      <c r="I13" s="82"/>
      <c r="J13" s="82"/>
      <c r="K13" s="82"/>
      <c r="L13" s="82"/>
      <c r="M13" s="88"/>
      <c r="N13" s="82"/>
    </row>
    <row r="14" spans="1:14">
      <c r="A14" s="82"/>
      <c r="B14" s="87"/>
      <c r="C14" s="66" t="s">
        <v>93</v>
      </c>
      <c r="D14" s="82"/>
      <c r="E14" s="82"/>
      <c r="F14" s="82"/>
      <c r="G14" s="82"/>
      <c r="H14" s="82"/>
      <c r="I14" s="82"/>
      <c r="J14" s="82"/>
      <c r="K14" s="82"/>
      <c r="L14" s="82"/>
      <c r="M14" s="88"/>
      <c r="N14" s="82"/>
    </row>
    <row r="15" spans="1:14">
      <c r="A15" s="82"/>
      <c r="B15" s="87"/>
      <c r="C15" s="101" t="s">
        <v>94</v>
      </c>
      <c r="D15" s="82"/>
      <c r="E15" s="82"/>
      <c r="F15" s="82"/>
      <c r="G15" s="82"/>
      <c r="H15" s="82"/>
      <c r="I15" s="82"/>
      <c r="J15" s="82"/>
      <c r="K15" s="82"/>
      <c r="L15" s="82"/>
      <c r="M15" s="88"/>
      <c r="N15" s="82"/>
    </row>
    <row r="16" spans="1:14" ht="16.2" thickBot="1">
      <c r="A16" s="82"/>
      <c r="B16" s="87"/>
      <c r="C16" s="66" t="s">
        <v>95</v>
      </c>
      <c r="D16" s="82"/>
      <c r="E16" s="82"/>
      <c r="F16" s="82"/>
      <c r="G16" s="82"/>
      <c r="H16" s="82"/>
      <c r="I16" s="82"/>
      <c r="J16" s="82"/>
      <c r="K16" s="82"/>
      <c r="L16" s="82"/>
      <c r="M16" s="88"/>
      <c r="N16" s="82"/>
    </row>
    <row r="17" spans="1:14" ht="16.2" thickBot="1">
      <c r="A17" s="82"/>
      <c r="B17" s="87"/>
      <c r="C17" s="102">
        <v>55</v>
      </c>
      <c r="D17" s="103" t="s">
        <v>96</v>
      </c>
      <c r="E17" s="82"/>
      <c r="F17" s="82"/>
      <c r="G17" s="82"/>
      <c r="H17" s="82"/>
      <c r="I17" s="82"/>
      <c r="J17" s="82"/>
      <c r="K17" s="82"/>
      <c r="L17" s="82"/>
      <c r="M17" s="88"/>
      <c r="N17" s="82"/>
    </row>
    <row r="18" spans="1:14">
      <c r="A18" s="82"/>
      <c r="B18" s="87"/>
      <c r="C18" s="66" t="s">
        <v>97</v>
      </c>
      <c r="D18" s="82"/>
      <c r="E18" s="82"/>
      <c r="F18" s="82"/>
      <c r="G18" s="82"/>
      <c r="H18" s="82"/>
      <c r="I18" s="82"/>
      <c r="J18" s="82"/>
      <c r="K18" s="82"/>
      <c r="L18" s="82"/>
      <c r="M18" s="88"/>
      <c r="N18" s="82"/>
    </row>
    <row r="19" spans="1:14">
      <c r="A19" s="82"/>
      <c r="B19" s="87"/>
      <c r="C19" s="66" t="s">
        <v>98</v>
      </c>
      <c r="D19" s="82"/>
      <c r="E19" s="82"/>
      <c r="F19" s="82"/>
      <c r="G19" s="82"/>
      <c r="H19" s="82"/>
      <c r="I19" s="82"/>
      <c r="J19" s="82"/>
      <c r="K19" s="82"/>
      <c r="L19" s="82"/>
      <c r="M19" s="88"/>
      <c r="N19" s="82"/>
    </row>
    <row r="20" spans="1:14">
      <c r="A20" s="82"/>
      <c r="B20" s="87"/>
      <c r="C20" s="66" t="s">
        <v>99</v>
      </c>
      <c r="D20" s="82"/>
      <c r="E20" s="82"/>
      <c r="F20" s="82"/>
      <c r="G20" s="82"/>
      <c r="H20" s="82"/>
      <c r="I20" s="82"/>
      <c r="J20" s="82"/>
      <c r="K20" s="82"/>
      <c r="L20" s="82"/>
      <c r="M20" s="88"/>
      <c r="N20" s="82"/>
    </row>
    <row r="21" spans="1:14">
      <c r="A21" s="82"/>
      <c r="B21" s="87"/>
      <c r="C21" s="82"/>
      <c r="D21" s="82"/>
      <c r="E21" s="82"/>
      <c r="F21" s="82"/>
      <c r="G21" s="82"/>
      <c r="H21" s="82"/>
      <c r="I21" s="82"/>
      <c r="J21" s="82"/>
      <c r="K21" s="82"/>
      <c r="L21" s="82"/>
      <c r="M21" s="88"/>
      <c r="N21" s="82"/>
    </row>
    <row r="22" spans="1:14">
      <c r="A22" s="82"/>
      <c r="B22" s="87"/>
      <c r="C22" s="100" t="s">
        <v>100</v>
      </c>
      <c r="D22" s="82"/>
      <c r="E22" s="82"/>
      <c r="F22" s="82"/>
      <c r="G22" s="82"/>
      <c r="H22" s="82"/>
      <c r="I22" s="82"/>
      <c r="J22" s="82"/>
      <c r="K22" s="82"/>
      <c r="L22" s="82"/>
      <c r="M22" s="88"/>
      <c r="N22" s="82"/>
    </row>
    <row r="23" spans="1:14">
      <c r="A23" s="82"/>
      <c r="B23" s="87"/>
      <c r="C23" s="66" t="s">
        <v>101</v>
      </c>
      <c r="D23" s="82"/>
      <c r="E23" s="82"/>
      <c r="F23" s="82"/>
      <c r="G23" s="82"/>
      <c r="H23" s="82"/>
      <c r="I23" s="82"/>
      <c r="J23" s="82"/>
      <c r="K23" s="82"/>
      <c r="L23" s="82"/>
      <c r="M23" s="88"/>
      <c r="N23" s="82"/>
    </row>
    <row r="24" spans="1:14">
      <c r="A24" s="82"/>
      <c r="B24" s="87"/>
      <c r="C24" s="101" t="s">
        <v>102</v>
      </c>
      <c r="D24" s="82"/>
      <c r="E24" s="82"/>
      <c r="F24" s="82"/>
      <c r="G24" s="82"/>
      <c r="H24" s="82"/>
      <c r="I24" s="82"/>
      <c r="J24" s="82"/>
      <c r="K24" s="82"/>
      <c r="L24" s="82"/>
      <c r="M24" s="88"/>
      <c r="N24" s="82"/>
    </row>
    <row r="25" spans="1:14" ht="16.2" thickBot="1">
      <c r="A25" s="82"/>
      <c r="B25" s="87"/>
      <c r="C25" s="101" t="s">
        <v>103</v>
      </c>
      <c r="D25" s="82"/>
      <c r="E25" s="82"/>
      <c r="F25" s="82"/>
      <c r="G25" s="82"/>
      <c r="H25" s="82"/>
      <c r="I25" s="82"/>
      <c r="J25" s="82"/>
      <c r="K25" s="82"/>
      <c r="L25" s="82"/>
      <c r="M25" s="88"/>
      <c r="N25" s="82"/>
    </row>
    <row r="26" spans="1:14" ht="16.2" thickBot="1">
      <c r="A26" s="82"/>
      <c r="B26" s="87"/>
      <c r="C26" s="104">
        <v>5.0000000000000001E-4</v>
      </c>
      <c r="D26" s="82" t="s">
        <v>104</v>
      </c>
      <c r="E26" s="82"/>
      <c r="F26" s="82"/>
      <c r="G26" s="82"/>
      <c r="H26" s="82"/>
      <c r="I26" s="82"/>
      <c r="J26" s="82"/>
      <c r="K26" s="82"/>
      <c r="L26" s="82"/>
      <c r="M26" s="88"/>
      <c r="N26" s="82"/>
    </row>
    <row r="27" spans="1:14" ht="16.2" thickBot="1">
      <c r="A27" s="82"/>
      <c r="B27" s="87"/>
      <c r="C27" s="104">
        <v>1.5E-3</v>
      </c>
      <c r="D27" s="82" t="s">
        <v>105</v>
      </c>
      <c r="E27" s="82"/>
      <c r="F27" s="82"/>
      <c r="G27" s="82"/>
      <c r="H27" s="82"/>
      <c r="I27" s="82"/>
      <c r="J27" s="82"/>
      <c r="K27" s="82"/>
      <c r="L27" s="82"/>
      <c r="M27" s="88"/>
      <c r="N27" s="82"/>
    </row>
    <row r="28" spans="1:14">
      <c r="A28" s="82"/>
      <c r="B28" s="87"/>
      <c r="C28" s="66" t="s">
        <v>106</v>
      </c>
      <c r="D28" s="82"/>
      <c r="E28" s="82"/>
      <c r="F28" s="82"/>
      <c r="G28" s="82"/>
      <c r="H28" s="82"/>
      <c r="I28" s="82"/>
      <c r="J28" s="82"/>
      <c r="K28" s="82"/>
      <c r="L28" s="82"/>
      <c r="M28" s="88"/>
      <c r="N28" s="82"/>
    </row>
    <row r="29" spans="1:14" ht="16.2" thickBot="1">
      <c r="A29" s="82"/>
      <c r="B29" s="87"/>
      <c r="C29" s="105" t="s">
        <v>107</v>
      </c>
      <c r="D29" s="82"/>
      <c r="E29" s="82"/>
      <c r="F29" s="82"/>
      <c r="G29" s="82"/>
      <c r="H29" s="82"/>
      <c r="I29" s="82"/>
      <c r="J29" s="82"/>
      <c r="K29" s="82"/>
      <c r="L29" s="82"/>
      <c r="M29" s="88"/>
      <c r="N29" s="82"/>
    </row>
    <row r="30" spans="1:14" ht="16.2" thickBot="1">
      <c r="A30" s="82"/>
      <c r="B30" s="87"/>
      <c r="C30" s="106">
        <v>-0.01</v>
      </c>
      <c r="D30" s="82" t="s">
        <v>108</v>
      </c>
      <c r="E30" s="82"/>
      <c r="F30" s="82"/>
      <c r="G30" s="82"/>
      <c r="H30" s="82"/>
      <c r="I30" s="82"/>
      <c r="J30" s="82"/>
      <c r="K30" s="82"/>
      <c r="L30" s="82"/>
      <c r="M30" s="88"/>
      <c r="N30" s="82"/>
    </row>
    <row r="31" spans="1:14" ht="16.2" thickBot="1">
      <c r="A31" s="82"/>
      <c r="B31" s="87"/>
      <c r="C31" s="106">
        <v>0.06</v>
      </c>
      <c r="D31" s="82" t="s">
        <v>109</v>
      </c>
      <c r="E31" s="82"/>
      <c r="F31" s="82"/>
      <c r="G31" s="82"/>
      <c r="H31" s="82"/>
      <c r="I31" s="82"/>
      <c r="J31" s="82"/>
      <c r="K31" s="82"/>
      <c r="L31" s="82"/>
      <c r="M31" s="88"/>
      <c r="N31" s="82"/>
    </row>
    <row r="32" spans="1:14" ht="16.2" thickBot="1">
      <c r="A32" s="82"/>
      <c r="B32" s="87"/>
      <c r="C32" s="106">
        <v>7.0000000000000007E-2</v>
      </c>
      <c r="D32" s="82" t="s">
        <v>110</v>
      </c>
      <c r="E32" s="82"/>
      <c r="F32" s="82"/>
      <c r="G32" s="82"/>
      <c r="H32" s="82"/>
      <c r="I32" s="82"/>
      <c r="J32" s="82"/>
      <c r="K32" s="82"/>
      <c r="L32" s="82"/>
      <c r="M32" s="88"/>
      <c r="N32" s="82"/>
    </row>
    <row r="33" spans="1:14" ht="16.2" thickBot="1">
      <c r="A33" s="82"/>
      <c r="B33" s="87"/>
      <c r="C33" s="106">
        <v>0.09</v>
      </c>
      <c r="D33" s="82" t="s">
        <v>111</v>
      </c>
      <c r="E33" s="82"/>
      <c r="F33" s="82"/>
      <c r="G33" s="82"/>
      <c r="H33" s="82"/>
      <c r="I33" s="82"/>
      <c r="J33" s="82"/>
      <c r="K33" s="82"/>
      <c r="L33" s="82"/>
      <c r="M33" s="88"/>
      <c r="N33" s="82"/>
    </row>
    <row r="34" spans="1:14" ht="16.2" thickBot="1">
      <c r="A34" s="82"/>
      <c r="B34" s="87"/>
      <c r="C34" s="106">
        <v>0.01</v>
      </c>
      <c r="D34" s="82" t="s">
        <v>112</v>
      </c>
      <c r="E34" s="82"/>
      <c r="F34" s="82"/>
      <c r="G34" s="82"/>
      <c r="H34" s="82"/>
      <c r="I34" s="82"/>
      <c r="J34" s="82"/>
      <c r="K34" s="82"/>
      <c r="L34" s="82"/>
      <c r="M34" s="88"/>
      <c r="N34" s="82"/>
    </row>
    <row r="35" spans="1:14">
      <c r="A35" s="82"/>
      <c r="B35" s="87"/>
      <c r="C35" s="66" t="s">
        <v>113</v>
      </c>
      <c r="D35" s="82"/>
      <c r="E35" s="82"/>
      <c r="F35" s="82"/>
      <c r="G35" s="82"/>
      <c r="H35" s="82"/>
      <c r="I35" s="82"/>
      <c r="J35" s="82"/>
      <c r="K35" s="82"/>
      <c r="L35" s="82"/>
      <c r="M35" s="88"/>
      <c r="N35" s="82"/>
    </row>
    <row r="36" spans="1:14">
      <c r="A36" s="82"/>
      <c r="B36" s="87"/>
      <c r="C36" s="101" t="s">
        <v>114</v>
      </c>
      <c r="D36" s="82"/>
      <c r="E36" s="82"/>
      <c r="F36" s="82"/>
      <c r="G36" s="82"/>
      <c r="H36" s="82"/>
      <c r="I36" s="82"/>
      <c r="J36" s="82"/>
      <c r="K36" s="82"/>
      <c r="L36" s="82"/>
      <c r="M36" s="88"/>
      <c r="N36" s="82"/>
    </row>
    <row r="37" spans="1:14">
      <c r="A37" s="82"/>
      <c r="B37" s="87"/>
      <c r="C37" s="66" t="s">
        <v>115</v>
      </c>
      <c r="D37" s="82"/>
      <c r="E37" s="82"/>
      <c r="F37" s="82"/>
      <c r="G37" s="82"/>
      <c r="H37" s="82"/>
      <c r="I37" s="82"/>
      <c r="J37" s="82"/>
      <c r="K37" s="82"/>
      <c r="L37" s="82"/>
      <c r="M37" s="88"/>
      <c r="N37" s="82"/>
    </row>
    <row r="38" spans="1:14">
      <c r="A38" s="82"/>
      <c r="B38" s="107"/>
      <c r="C38" s="108"/>
      <c r="D38" s="108"/>
      <c r="E38" s="108"/>
      <c r="F38" s="108"/>
      <c r="G38" s="108"/>
      <c r="H38" s="108"/>
      <c r="I38" s="108"/>
      <c r="J38" s="108"/>
      <c r="K38" s="108"/>
      <c r="L38" s="108"/>
      <c r="M38" s="109"/>
      <c r="N38" s="82"/>
    </row>
    <row r="39" spans="1:14">
      <c r="A39" s="82"/>
      <c r="B39" s="82"/>
      <c r="C39" s="82"/>
      <c r="D39" s="82"/>
      <c r="E39" s="82"/>
      <c r="F39" s="82"/>
      <c r="G39" s="82"/>
      <c r="H39" s="82"/>
      <c r="I39" s="82"/>
      <c r="J39" s="82"/>
      <c r="K39" s="82"/>
      <c r="L39" s="82"/>
      <c r="M39" s="82"/>
      <c r="N39" s="82"/>
    </row>
    <row r="40" spans="1:14">
      <c r="A40" s="82"/>
      <c r="B40" s="82"/>
      <c r="C40" s="82"/>
      <c r="D40" s="82"/>
      <c r="E40" s="82"/>
      <c r="F40" s="82"/>
      <c r="G40" s="82"/>
      <c r="H40" s="82"/>
      <c r="I40" s="82"/>
      <c r="J40" s="82"/>
      <c r="K40" s="82"/>
      <c r="L40" s="82"/>
      <c r="M40" s="82"/>
      <c r="N40" s="82"/>
    </row>
    <row r="41" spans="1:14">
      <c r="A41" s="82"/>
      <c r="B41" s="82"/>
      <c r="C41" s="82"/>
      <c r="D41" s="82"/>
      <c r="E41" s="82"/>
      <c r="F41" s="82"/>
      <c r="G41" s="82"/>
      <c r="H41" s="82"/>
      <c r="I41" s="82"/>
      <c r="J41" s="82"/>
      <c r="K41" s="82"/>
      <c r="L41" s="82"/>
      <c r="M41" s="82"/>
      <c r="N41" s="82"/>
    </row>
    <row r="42" spans="1:14" ht="16.2" thickBot="1">
      <c r="A42" s="82" t="s">
        <v>116</v>
      </c>
      <c r="B42" s="82"/>
      <c r="C42" s="82"/>
      <c r="D42" s="82"/>
      <c r="E42" s="82"/>
      <c r="F42" s="82"/>
      <c r="G42" s="82"/>
      <c r="H42" s="82"/>
      <c r="I42" s="82"/>
      <c r="J42" s="82"/>
      <c r="K42" s="82"/>
      <c r="L42" s="82"/>
      <c r="M42" s="82"/>
      <c r="N42" s="82"/>
    </row>
    <row r="43" spans="1:14" ht="16.2" thickBot="1">
      <c r="A43" s="66" t="s">
        <v>117</v>
      </c>
      <c r="B43" s="66"/>
      <c r="C43" s="82"/>
      <c r="D43" s="110">
        <v>10000</v>
      </c>
      <c r="E43" s="82"/>
      <c r="F43" s="82"/>
      <c r="G43" s="82"/>
      <c r="H43" s="82"/>
      <c r="I43" s="82"/>
      <c r="J43" s="82"/>
      <c r="K43" s="82"/>
      <c r="L43" s="82"/>
      <c r="M43" s="82"/>
      <c r="N43" s="82"/>
    </row>
    <row r="44" spans="1:14">
      <c r="A44" s="66" t="s">
        <v>118</v>
      </c>
      <c r="B44" s="66"/>
      <c r="C44" s="82"/>
      <c r="D44" s="82"/>
      <c r="E44" s="82"/>
      <c r="F44" s="82"/>
      <c r="G44" s="82"/>
      <c r="H44" s="82"/>
      <c r="I44" s="82"/>
      <c r="J44" s="82"/>
      <c r="K44" s="82"/>
      <c r="L44" s="82"/>
      <c r="M44" s="82"/>
      <c r="N44" s="82"/>
    </row>
    <row r="45" spans="1:14">
      <c r="A45" s="82"/>
      <c r="B45" s="82"/>
      <c r="C45" s="82"/>
      <c r="D45" s="82"/>
      <c r="E45" s="82"/>
      <c r="F45" s="82"/>
      <c r="G45" s="82"/>
      <c r="H45" s="82"/>
      <c r="I45" s="82"/>
      <c r="J45" s="82"/>
      <c r="K45" s="82"/>
      <c r="L45" s="82"/>
      <c r="M45" s="82"/>
      <c r="N45" s="82"/>
    </row>
    <row r="46" spans="1:14">
      <c r="A46" s="82" t="s">
        <v>119</v>
      </c>
      <c r="B46" s="82"/>
      <c r="C46" s="82"/>
      <c r="D46" s="82"/>
      <c r="E46" s="82"/>
      <c r="F46" s="82"/>
      <c r="G46" s="82"/>
      <c r="H46" s="82"/>
      <c r="I46" s="82"/>
      <c r="J46" s="82"/>
      <c r="K46" s="82"/>
      <c r="L46" s="82"/>
      <c r="M46" s="82"/>
      <c r="N46" s="82"/>
    </row>
    <row r="47" spans="1:14">
      <c r="A47" s="67" t="s">
        <v>52</v>
      </c>
      <c r="B47" s="67"/>
    </row>
    <row r="48" spans="1:14" ht="16.2" thickBot="1"/>
    <row r="49" spans="3:4" ht="16.2" thickBot="1">
      <c r="C49" s="111" t="s">
        <v>120</v>
      </c>
      <c r="D49" s="112"/>
    </row>
    <row r="50" spans="3:4" ht="16.2" thickBot="1">
      <c r="C50" s="111" t="s">
        <v>121</v>
      </c>
      <c r="D50" s="112"/>
    </row>
    <row r="51" spans="3:4" ht="16.2" thickBot="1">
      <c r="C51" s="111" t="s">
        <v>122</v>
      </c>
      <c r="D51" s="112"/>
    </row>
    <row r="52" spans="3:4" ht="16.2" thickBot="1">
      <c r="C52" s="111" t="s">
        <v>123</v>
      </c>
      <c r="D52" s="112"/>
    </row>
    <row r="53" spans="3:4" ht="16.2" thickBot="1">
      <c r="C53" s="111" t="s">
        <v>124</v>
      </c>
      <c r="D53" s="112"/>
    </row>
  </sheetData>
  <mergeCells count="3">
    <mergeCell ref="C6:C7"/>
    <mergeCell ref="D6:D7"/>
    <mergeCell ref="E6:F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CB1D7-3592-4E5E-94CD-98365C948B21}">
  <dimension ref="B2:G8"/>
  <sheetViews>
    <sheetView workbookViewId="0"/>
  </sheetViews>
  <sheetFormatPr defaultColWidth="8.77734375" defaultRowHeight="14.4"/>
  <cols>
    <col min="1" max="3" width="8.77734375" style="48"/>
    <col min="4" max="4" width="13.21875" style="48" bestFit="1" customWidth="1"/>
    <col min="5" max="5" width="8.77734375" style="48"/>
    <col min="6" max="6" width="9.44140625" style="48" bestFit="1" customWidth="1"/>
    <col min="7" max="7" width="12.21875" style="48" bestFit="1" customWidth="1"/>
    <col min="8" max="16384" width="8.77734375" style="48"/>
  </cols>
  <sheetData>
    <row r="2" spans="2:7">
      <c r="B2" s="113" t="s">
        <v>56</v>
      </c>
      <c r="C2" s="113" t="s">
        <v>125</v>
      </c>
      <c r="D2" s="113" t="s">
        <v>126</v>
      </c>
      <c r="E2" s="113" t="s">
        <v>127</v>
      </c>
      <c r="F2" s="114" t="s">
        <v>128</v>
      </c>
      <c r="G2" s="113" t="s">
        <v>129</v>
      </c>
    </row>
    <row r="3" spans="2:7">
      <c r="B3" s="115">
        <v>0</v>
      </c>
      <c r="C3" s="115"/>
      <c r="D3" s="116">
        <v>10000</v>
      </c>
      <c r="E3" s="116">
        <v>10000</v>
      </c>
      <c r="F3" s="116">
        <v>10000</v>
      </c>
      <c r="G3" s="116"/>
    </row>
    <row r="4" spans="2:7">
      <c r="B4" s="115">
        <v>1</v>
      </c>
      <c r="C4" s="117">
        <v>-0.01</v>
      </c>
      <c r="D4" s="116">
        <f>D3*(1+C4)</f>
        <v>9900</v>
      </c>
      <c r="E4" s="116">
        <f>MAX(D$3:D4)</f>
        <v>10000</v>
      </c>
      <c r="F4" s="116">
        <f>F3*1.05</f>
        <v>10500</v>
      </c>
      <c r="G4" s="116">
        <f>MAX(E4:F4)</f>
        <v>10500</v>
      </c>
    </row>
    <row r="5" spans="2:7">
      <c r="B5" s="115">
        <v>2</v>
      </c>
      <c r="C5" s="117">
        <v>0.06</v>
      </c>
      <c r="D5" s="116">
        <f>D4*(1+C5)</f>
        <v>10494</v>
      </c>
      <c r="E5" s="116">
        <f>MAX(D$3:D5)</f>
        <v>10494</v>
      </c>
      <c r="F5" s="116">
        <f>F4*1.05</f>
        <v>11025</v>
      </c>
      <c r="G5" s="116">
        <f>MAX(E5:F5)</f>
        <v>11025</v>
      </c>
    </row>
    <row r="6" spans="2:7">
      <c r="B6" s="115">
        <v>3</v>
      </c>
      <c r="C6" s="117">
        <v>7.0000000000000007E-2</v>
      </c>
      <c r="D6" s="116">
        <f>D5*(1+C6)</f>
        <v>11228.58</v>
      </c>
      <c r="E6" s="116">
        <f>MAX(D$3:D6)</f>
        <v>11228.58</v>
      </c>
      <c r="F6" s="116">
        <f>F5*1.05</f>
        <v>11576.25</v>
      </c>
      <c r="G6" s="116">
        <f>MAX(E6:F6)</f>
        <v>11576.25</v>
      </c>
    </row>
    <row r="7" spans="2:7">
      <c r="B7" s="115">
        <v>4</v>
      </c>
      <c r="C7" s="117">
        <v>0.09</v>
      </c>
      <c r="D7" s="116">
        <f>D6*(1+C7)</f>
        <v>12239.1522</v>
      </c>
      <c r="E7" s="116">
        <f>MAX(D$3:D7)</f>
        <v>12239.1522</v>
      </c>
      <c r="F7" s="116">
        <f>F6*1.05</f>
        <v>12155.0625</v>
      </c>
      <c r="G7" s="116">
        <f>MAX(E7:F7)</f>
        <v>12239.1522</v>
      </c>
    </row>
    <row r="8" spans="2:7">
      <c r="B8" s="115">
        <v>5</v>
      </c>
      <c r="C8" s="117">
        <v>0.01</v>
      </c>
      <c r="D8" s="116">
        <f>D7*(1+C8)</f>
        <v>12361.543722</v>
      </c>
      <c r="E8" s="116">
        <f>MAX(D$3:D8)</f>
        <v>12361.543722</v>
      </c>
      <c r="F8" s="116">
        <f>F7*1.05</f>
        <v>12762.815625000001</v>
      </c>
      <c r="G8" s="116">
        <f>MAX(E8:F8)</f>
        <v>12762.815625000001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B5587-5EB4-4AC9-BE41-C4CE295E89B5}">
  <dimension ref="A1:H22"/>
  <sheetViews>
    <sheetView workbookViewId="0"/>
  </sheetViews>
  <sheetFormatPr defaultColWidth="8.88671875" defaultRowHeight="15.6"/>
  <cols>
    <col min="1" max="1" width="38.5546875" style="83" customWidth="1"/>
    <col min="2" max="16384" width="8.88671875" style="83"/>
  </cols>
  <sheetData>
    <row r="1" spans="1:8" ht="17.399999999999999">
      <c r="A1" s="46" t="s">
        <v>130</v>
      </c>
      <c r="B1" s="82"/>
      <c r="C1" s="82"/>
      <c r="D1" s="82"/>
      <c r="E1" s="82"/>
      <c r="F1" s="82"/>
      <c r="G1" s="82"/>
      <c r="H1" s="82"/>
    </row>
    <row r="2" spans="1:8">
      <c r="A2" s="82"/>
      <c r="B2" s="82"/>
      <c r="C2" s="82"/>
      <c r="D2" s="82"/>
      <c r="E2" s="82"/>
      <c r="F2" s="82"/>
      <c r="G2" s="82"/>
      <c r="H2" s="82"/>
    </row>
    <row r="3" spans="1:8">
      <c r="A3" s="82" t="s">
        <v>131</v>
      </c>
      <c r="B3" s="82"/>
      <c r="C3" s="82"/>
      <c r="D3" s="82"/>
      <c r="E3" s="82"/>
      <c r="F3" s="82"/>
      <c r="G3" s="82"/>
      <c r="H3" s="82"/>
    </row>
    <row r="4" spans="1:8">
      <c r="A4" s="82"/>
      <c r="B4" s="82"/>
      <c r="C4" s="82"/>
      <c r="D4" s="82"/>
      <c r="E4" s="82"/>
      <c r="F4" s="82"/>
      <c r="G4" s="82"/>
      <c r="H4" s="82"/>
    </row>
    <row r="5" spans="1:8" ht="16.2" thickBot="1">
      <c r="A5" s="82"/>
      <c r="B5" s="82"/>
      <c r="C5" s="82"/>
      <c r="D5" s="82"/>
      <c r="E5" s="82"/>
      <c r="F5" s="82"/>
      <c r="G5" s="82"/>
      <c r="H5" s="82"/>
    </row>
    <row r="6" spans="1:8" ht="47.4" thickBot="1">
      <c r="A6" s="118"/>
      <c r="B6" s="119" t="s">
        <v>132</v>
      </c>
      <c r="C6" s="119" t="s">
        <v>133</v>
      </c>
      <c r="D6" s="82"/>
      <c r="E6" s="82"/>
      <c r="F6" s="82"/>
      <c r="G6" s="82"/>
      <c r="H6" s="82"/>
    </row>
    <row r="7" spans="1:8" ht="16.2" thickBot="1">
      <c r="A7" s="120" t="s">
        <v>134</v>
      </c>
      <c r="B7" s="121">
        <v>2000</v>
      </c>
      <c r="C7" s="121">
        <v>1000</v>
      </c>
      <c r="D7" s="82"/>
      <c r="E7" s="82"/>
      <c r="F7" s="82"/>
      <c r="G7" s="82"/>
      <c r="H7" s="82"/>
    </row>
    <row r="8" spans="1:8" ht="31.8" thickBot="1">
      <c r="A8" s="120" t="s">
        <v>135</v>
      </c>
      <c r="B8" s="122">
        <v>50</v>
      </c>
      <c r="C8" s="122">
        <v>0</v>
      </c>
      <c r="D8" s="82"/>
      <c r="E8" s="82"/>
      <c r="F8" s="82"/>
      <c r="G8" s="82"/>
      <c r="H8" s="82"/>
    </row>
    <row r="9" spans="1:8" ht="16.2" thickBot="1">
      <c r="A9" s="120" t="s">
        <v>136</v>
      </c>
      <c r="B9" s="122">
        <v>10</v>
      </c>
      <c r="C9" s="122">
        <v>0</v>
      </c>
      <c r="D9" s="82"/>
      <c r="E9" s="82"/>
      <c r="F9" s="82"/>
      <c r="G9" s="82"/>
      <c r="H9" s="82"/>
    </row>
    <row r="10" spans="1:8" ht="16.2" thickBot="1">
      <c r="A10" s="120" t="s">
        <v>137</v>
      </c>
      <c r="B10" s="122">
        <v>400</v>
      </c>
      <c r="C10" s="122">
        <v>160</v>
      </c>
      <c r="D10" s="82"/>
      <c r="E10" s="82"/>
      <c r="F10" s="82"/>
      <c r="G10" s="82"/>
      <c r="H10" s="82"/>
    </row>
    <row r="11" spans="1:8" ht="16.2" thickBot="1">
      <c r="A11" s="120" t="s">
        <v>138</v>
      </c>
      <c r="B11" s="122">
        <v>500</v>
      </c>
      <c r="C11" s="122">
        <v>200</v>
      </c>
      <c r="D11" s="82"/>
      <c r="E11" s="82"/>
      <c r="F11" s="82"/>
      <c r="G11" s="82"/>
      <c r="H11" s="82"/>
    </row>
    <row r="12" spans="1:8" ht="31.8" thickBot="1">
      <c r="A12" s="120" t="s">
        <v>139</v>
      </c>
      <c r="B12" s="122">
        <v>40</v>
      </c>
      <c r="C12" s="122">
        <v>30</v>
      </c>
      <c r="D12" s="82"/>
      <c r="E12" s="82"/>
      <c r="F12" s="82"/>
      <c r="G12" s="82"/>
      <c r="H12" s="82"/>
    </row>
    <row r="13" spans="1:8" ht="31.8" thickBot="1">
      <c r="A13" s="120" t="s">
        <v>140</v>
      </c>
      <c r="B13" s="122">
        <v>700</v>
      </c>
      <c r="C13" s="122">
        <v>350</v>
      </c>
      <c r="D13" s="82"/>
      <c r="E13" s="82"/>
      <c r="F13" s="82"/>
      <c r="G13" s="82"/>
      <c r="H13" s="82"/>
    </row>
    <row r="14" spans="1:8" ht="16.2" thickBot="1">
      <c r="A14" s="120" t="s">
        <v>141</v>
      </c>
      <c r="B14" s="122">
        <v>100</v>
      </c>
      <c r="C14" s="122">
        <v>50</v>
      </c>
      <c r="D14" s="82"/>
      <c r="E14" s="82"/>
      <c r="F14" s="82"/>
      <c r="G14" s="82"/>
      <c r="H14" s="82"/>
    </row>
    <row r="15" spans="1:8">
      <c r="A15" s="82"/>
      <c r="B15" s="82"/>
      <c r="C15" s="82"/>
      <c r="D15" s="82"/>
      <c r="E15" s="82"/>
      <c r="F15" s="82"/>
      <c r="G15" s="82"/>
      <c r="H15" s="82"/>
    </row>
    <row r="16" spans="1:8">
      <c r="A16" s="82"/>
      <c r="B16" s="82"/>
      <c r="C16" s="82"/>
      <c r="D16" s="82"/>
      <c r="E16" s="82"/>
      <c r="F16" s="82"/>
      <c r="G16" s="82"/>
      <c r="H16" s="82"/>
    </row>
    <row r="17" spans="1:8">
      <c r="A17" s="82"/>
      <c r="B17" s="82"/>
      <c r="C17" s="82"/>
      <c r="D17" s="82"/>
      <c r="E17" s="82"/>
      <c r="F17" s="82"/>
      <c r="G17" s="82"/>
      <c r="H17" s="82"/>
    </row>
    <row r="18" spans="1:8">
      <c r="A18" s="82"/>
      <c r="B18" s="82"/>
      <c r="C18" s="82"/>
      <c r="D18" s="82"/>
      <c r="E18" s="82"/>
      <c r="F18" s="82"/>
      <c r="G18" s="82"/>
      <c r="H18" s="82"/>
    </row>
    <row r="19" spans="1:8">
      <c r="A19" s="82" t="s">
        <v>142</v>
      </c>
      <c r="B19" s="82"/>
      <c r="C19" s="82"/>
      <c r="D19" s="82"/>
      <c r="E19" s="82"/>
      <c r="F19" s="82"/>
      <c r="G19" s="82"/>
      <c r="H19" s="82"/>
    </row>
    <row r="20" spans="1:8">
      <c r="A20" s="67" t="s">
        <v>52</v>
      </c>
    </row>
    <row r="21" spans="1:8" ht="16.2" thickBot="1"/>
    <row r="22" spans="1:8" ht="16.2" thickBot="1">
      <c r="A22" s="111" t="s">
        <v>143</v>
      </c>
      <c r="B22" s="112"/>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97C4A-7565-45F8-B1E1-9B99AA6E461A}">
  <dimension ref="A1:H53"/>
  <sheetViews>
    <sheetView workbookViewId="0"/>
  </sheetViews>
  <sheetFormatPr defaultColWidth="8.77734375" defaultRowHeight="15.6"/>
  <cols>
    <col min="1" max="1" width="38.44140625" style="83" customWidth="1"/>
    <col min="2" max="16384" width="8.77734375" style="83"/>
  </cols>
  <sheetData>
    <row r="1" spans="1:8" ht="17.399999999999999">
      <c r="A1" s="46" t="s">
        <v>130</v>
      </c>
      <c r="B1" s="82"/>
      <c r="C1" s="82"/>
      <c r="D1" s="82"/>
      <c r="E1" s="82"/>
      <c r="F1" s="82"/>
      <c r="G1" s="82"/>
      <c r="H1" s="82"/>
    </row>
    <row r="2" spans="1:8">
      <c r="A2" s="82"/>
      <c r="B2" s="82"/>
      <c r="C2" s="82"/>
      <c r="D2" s="82"/>
      <c r="E2" s="82"/>
      <c r="F2" s="82"/>
      <c r="G2" s="82"/>
      <c r="H2" s="82"/>
    </row>
    <row r="3" spans="1:8">
      <c r="A3" s="82" t="s">
        <v>131</v>
      </c>
      <c r="B3" s="82"/>
      <c r="C3" s="82"/>
      <c r="D3" s="82"/>
      <c r="E3" s="82"/>
      <c r="F3" s="82"/>
      <c r="G3" s="82"/>
      <c r="H3" s="82"/>
    </row>
    <row r="4" spans="1:8">
      <c r="A4" s="82"/>
      <c r="B4" s="82"/>
      <c r="C4" s="82"/>
      <c r="D4" s="82"/>
      <c r="E4" s="82"/>
      <c r="F4" s="82"/>
      <c r="G4" s="82"/>
      <c r="H4" s="82"/>
    </row>
    <row r="5" spans="1:8" ht="16.2" thickBot="1">
      <c r="A5" s="82"/>
      <c r="B5" s="82"/>
      <c r="C5" s="82"/>
      <c r="D5" s="82"/>
      <c r="E5" s="82"/>
      <c r="F5" s="82"/>
      <c r="G5" s="82"/>
      <c r="H5" s="82"/>
    </row>
    <row r="6" spans="1:8" ht="47.4" thickBot="1">
      <c r="A6" s="118"/>
      <c r="B6" s="119" t="s">
        <v>132</v>
      </c>
      <c r="C6" s="119" t="s">
        <v>133</v>
      </c>
      <c r="D6" s="82"/>
      <c r="E6" s="82"/>
      <c r="F6" s="82"/>
      <c r="G6" s="82"/>
      <c r="H6" s="82"/>
    </row>
    <row r="7" spans="1:8" ht="16.2" thickBot="1">
      <c r="A7" s="120" t="s">
        <v>134</v>
      </c>
      <c r="B7" s="121">
        <v>2000</v>
      </c>
      <c r="C7" s="121">
        <v>1000</v>
      </c>
      <c r="D7" s="82"/>
      <c r="E7" s="82"/>
      <c r="F7" s="82"/>
      <c r="G7" s="82"/>
      <c r="H7" s="82"/>
    </row>
    <row r="8" spans="1:8" ht="31.8" thickBot="1">
      <c r="A8" s="120" t="s">
        <v>135</v>
      </c>
      <c r="B8" s="122">
        <v>50</v>
      </c>
      <c r="C8" s="122">
        <v>0</v>
      </c>
      <c r="D8" s="82"/>
      <c r="E8" s="82"/>
      <c r="F8" s="82"/>
      <c r="G8" s="82"/>
      <c r="H8" s="82"/>
    </row>
    <row r="9" spans="1:8" ht="16.2" thickBot="1">
      <c r="A9" s="120" t="s">
        <v>136</v>
      </c>
      <c r="B9" s="122">
        <v>10</v>
      </c>
      <c r="C9" s="122">
        <v>0</v>
      </c>
      <c r="D9" s="82"/>
      <c r="E9" s="82"/>
      <c r="F9" s="82"/>
      <c r="G9" s="82"/>
      <c r="H9" s="82"/>
    </row>
    <row r="10" spans="1:8" ht="16.2" thickBot="1">
      <c r="A10" s="120" t="s">
        <v>137</v>
      </c>
      <c r="B10" s="122">
        <v>400</v>
      </c>
      <c r="C10" s="122">
        <v>160</v>
      </c>
      <c r="D10" s="82"/>
      <c r="E10" s="82"/>
      <c r="F10" s="82"/>
      <c r="G10" s="82"/>
      <c r="H10" s="82"/>
    </row>
    <row r="11" spans="1:8" ht="16.2" thickBot="1">
      <c r="A11" s="120" t="s">
        <v>138</v>
      </c>
      <c r="B11" s="122">
        <v>500</v>
      </c>
      <c r="C11" s="122">
        <v>200</v>
      </c>
      <c r="D11" s="82"/>
      <c r="E11" s="82"/>
      <c r="F11" s="82"/>
      <c r="G11" s="82"/>
      <c r="H11" s="82"/>
    </row>
    <row r="12" spans="1:8" ht="31.8" thickBot="1">
      <c r="A12" s="120" t="s">
        <v>139</v>
      </c>
      <c r="B12" s="122">
        <v>40</v>
      </c>
      <c r="C12" s="122">
        <v>30</v>
      </c>
      <c r="D12" s="82"/>
      <c r="E12" s="82"/>
      <c r="F12" s="82"/>
      <c r="G12" s="82"/>
      <c r="H12" s="82"/>
    </row>
    <row r="13" spans="1:8" ht="31.8" thickBot="1">
      <c r="A13" s="120" t="s">
        <v>140</v>
      </c>
      <c r="B13" s="122">
        <v>700</v>
      </c>
      <c r="C13" s="122">
        <v>350</v>
      </c>
      <c r="D13" s="82"/>
      <c r="E13" s="82"/>
      <c r="F13" s="82"/>
      <c r="G13" s="82"/>
      <c r="H13" s="82"/>
    </row>
    <row r="14" spans="1:8" ht="16.2" thickBot="1">
      <c r="A14" s="120" t="s">
        <v>141</v>
      </c>
      <c r="B14" s="122">
        <v>100</v>
      </c>
      <c r="C14" s="122">
        <v>50</v>
      </c>
      <c r="D14" s="82"/>
      <c r="E14" s="82"/>
      <c r="F14" s="82"/>
      <c r="G14" s="82"/>
      <c r="H14" s="82"/>
    </row>
    <row r="15" spans="1:8">
      <c r="A15" s="82"/>
      <c r="B15" s="82"/>
      <c r="C15" s="82"/>
      <c r="D15" s="82"/>
      <c r="E15" s="82"/>
      <c r="F15" s="82"/>
      <c r="G15" s="82"/>
      <c r="H15" s="82"/>
    </row>
    <row r="16" spans="1:8">
      <c r="A16" s="82"/>
      <c r="B16" s="82"/>
      <c r="C16" s="82"/>
      <c r="D16" s="82"/>
      <c r="E16" s="82"/>
      <c r="F16" s="82"/>
      <c r="G16" s="82"/>
      <c r="H16" s="82"/>
    </row>
    <row r="17" spans="1:8">
      <c r="A17" s="82"/>
      <c r="B17" s="82"/>
      <c r="C17" s="82"/>
      <c r="D17" s="82"/>
      <c r="E17" s="82"/>
      <c r="F17" s="82"/>
      <c r="G17" s="82"/>
      <c r="H17" s="82"/>
    </row>
    <row r="18" spans="1:8">
      <c r="A18" s="82"/>
      <c r="B18" s="82"/>
      <c r="C18" s="82"/>
      <c r="D18" s="82"/>
      <c r="E18" s="82"/>
      <c r="F18" s="82"/>
      <c r="G18" s="82"/>
      <c r="H18" s="82"/>
    </row>
    <row r="19" spans="1:8">
      <c r="A19" s="82" t="s">
        <v>142</v>
      </c>
      <c r="B19" s="82"/>
      <c r="C19" s="82"/>
      <c r="D19" s="82"/>
      <c r="E19" s="82"/>
      <c r="F19" s="82"/>
      <c r="G19" s="82"/>
      <c r="H19" s="82"/>
    </row>
    <row r="20" spans="1:8">
      <c r="A20" s="67" t="s">
        <v>52</v>
      </c>
    </row>
    <row r="21" spans="1:8" ht="16.2" thickBot="1"/>
    <row r="22" spans="1:8" ht="16.2" thickBot="1">
      <c r="A22" s="111" t="s">
        <v>143</v>
      </c>
      <c r="B22" s="69">
        <f>C53</f>
        <v>3920</v>
      </c>
    </row>
    <row r="25" spans="1:8">
      <c r="A25" s="123" t="s">
        <v>144</v>
      </c>
    </row>
    <row r="27" spans="1:8">
      <c r="B27" s="124" t="s">
        <v>145</v>
      </c>
    </row>
    <row r="28" spans="1:8">
      <c r="A28" s="125" t="s">
        <v>146</v>
      </c>
      <c r="B28" s="83" t="s">
        <v>147</v>
      </c>
    </row>
    <row r="29" spans="1:8">
      <c r="A29" s="125"/>
    </row>
    <row r="30" spans="1:8">
      <c r="A30" s="125" t="s">
        <v>148</v>
      </c>
      <c r="B30" s="83" t="s">
        <v>149</v>
      </c>
    </row>
    <row r="31" spans="1:8">
      <c r="A31" s="125"/>
      <c r="B31" s="83" t="s">
        <v>150</v>
      </c>
    </row>
    <row r="32" spans="1:8">
      <c r="A32" s="125"/>
      <c r="B32" s="83" t="s">
        <v>151</v>
      </c>
    </row>
    <row r="33" spans="1:4">
      <c r="A33" s="125"/>
      <c r="B33" s="83" t="s">
        <v>152</v>
      </c>
    </row>
    <row r="34" spans="1:4">
      <c r="A34" s="125"/>
      <c r="B34" s="83" t="s">
        <v>153</v>
      </c>
    </row>
    <row r="35" spans="1:4">
      <c r="A35" s="125"/>
    </row>
    <row r="36" spans="1:4">
      <c r="A36" s="125" t="s">
        <v>154</v>
      </c>
      <c r="B36" s="83" t="s">
        <v>155</v>
      </c>
    </row>
    <row r="37" spans="1:4">
      <c r="A37" s="125" t="s">
        <v>156</v>
      </c>
      <c r="B37" s="83" t="s">
        <v>157</v>
      </c>
    </row>
    <row r="40" spans="1:4">
      <c r="B40" s="124" t="s">
        <v>158</v>
      </c>
    </row>
    <row r="41" spans="1:4">
      <c r="A41" s="83" t="s">
        <v>159</v>
      </c>
      <c r="B41" s="83" t="s">
        <v>160</v>
      </c>
      <c r="C41" s="126">
        <f>SUM(B7:C7)</f>
        <v>3000</v>
      </c>
    </row>
    <row r="42" spans="1:4">
      <c r="B42" s="83" t="s">
        <v>161</v>
      </c>
      <c r="C42" s="126">
        <f>SUM(B8:C8)</f>
        <v>50</v>
      </c>
    </row>
    <row r="43" spans="1:4">
      <c r="B43" s="83" t="s">
        <v>162</v>
      </c>
      <c r="C43" s="126">
        <f>SUM(B12:C12)</f>
        <v>70</v>
      </c>
    </row>
    <row r="44" spans="1:4">
      <c r="B44" s="83" t="s">
        <v>163</v>
      </c>
      <c r="C44" s="126">
        <f>SUM(B9:C9)</f>
        <v>10</v>
      </c>
    </row>
    <row r="45" spans="1:4">
      <c r="C45" s="126"/>
    </row>
    <row r="46" spans="1:4">
      <c r="A46" s="83" t="s">
        <v>164</v>
      </c>
      <c r="B46" s="83" t="s">
        <v>165</v>
      </c>
      <c r="C46" s="126">
        <f>C41-SUM(C42:C44)</f>
        <v>2870</v>
      </c>
    </row>
    <row r="48" spans="1:4">
      <c r="A48" s="83" t="s">
        <v>166</v>
      </c>
      <c r="B48" s="83" t="s">
        <v>167</v>
      </c>
      <c r="C48" s="83">
        <f>SUM(B13:C13)-SUM(B14:C14)</f>
        <v>900</v>
      </c>
      <c r="D48" s="83" t="s">
        <v>168</v>
      </c>
    </row>
    <row r="49" spans="1:3">
      <c r="B49" s="83" t="s">
        <v>169</v>
      </c>
      <c r="C49" s="83">
        <f>SUM(B14:C14)</f>
        <v>150</v>
      </c>
    </row>
    <row r="51" spans="1:3">
      <c r="A51" s="83" t="s">
        <v>170</v>
      </c>
      <c r="B51" s="83" t="s">
        <v>171</v>
      </c>
      <c r="C51" s="83">
        <f>SUM(C48:C49)</f>
        <v>1050</v>
      </c>
    </row>
    <row r="53" spans="1:3">
      <c r="A53" s="83" t="s">
        <v>172</v>
      </c>
      <c r="B53" s="83" t="s">
        <v>173</v>
      </c>
      <c r="C53" s="126">
        <f>SUM(C51,C46)</f>
        <v>3920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AE639BB4E74542A43DE6E767DBCE18" ma:contentTypeVersion="11" ma:contentTypeDescription="Create a new document." ma:contentTypeScope="" ma:versionID="681f7fff1efaa5d4527fe8ca50b73cf7">
  <xsd:schema xmlns:xsd="http://www.w3.org/2001/XMLSchema" xmlns:xs="http://www.w3.org/2001/XMLSchema" xmlns:p="http://schemas.microsoft.com/office/2006/metadata/properties" xmlns:ns2="2a829cb1-c3bd-48aa-b101-cd51227f80d0" xmlns:ns3="c264fd13-c93d-4e63-9fb0-02334996df4b" targetNamespace="http://schemas.microsoft.com/office/2006/metadata/properties" ma:root="true" ma:fieldsID="e809d16dd66263efebf52ef89ed394f9" ns2:_="" ns3:_="">
    <xsd:import namespace="2a829cb1-c3bd-48aa-b101-cd51227f80d0"/>
    <xsd:import namespace="c264fd13-c93d-4e63-9fb0-02334996df4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829cb1-c3bd-48aa-b101-cd51227f80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267e5f2-3cc9-4b2c-97a9-20aec386c2b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264fd13-c93d-4e63-9fb0-02334996df4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da015f8-e9b6-4fc3-9b4e-646117ef80f2}" ma:internalName="TaxCatchAll" ma:showField="CatchAllData" ma:web="c264fd13-c93d-4e63-9fb0-02334996df4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264fd13-c93d-4e63-9fb0-02334996df4b" xsi:nil="true"/>
    <lcf76f155ced4ddcb4097134ff3c332f xmlns="2a829cb1-c3bd-48aa-b101-cd51227f80d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31374D1-6FAC-4EED-BDC3-72E0086F8EBA}"/>
</file>

<file path=customXml/itemProps2.xml><?xml version="1.0" encoding="utf-8"?>
<ds:datastoreItem xmlns:ds="http://schemas.openxmlformats.org/officeDocument/2006/customXml" ds:itemID="{0387F340-0865-4552-B733-F1D129AA33D0}"/>
</file>

<file path=customXml/itemProps3.xml><?xml version="1.0" encoding="utf-8"?>
<ds:datastoreItem xmlns:ds="http://schemas.openxmlformats.org/officeDocument/2006/customXml" ds:itemID="{3F5AF811-1894-454A-875D-C116DC13AD1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21</vt:i4>
      </vt:variant>
    </vt:vector>
  </HeadingPairs>
  <TitlesOfParts>
    <vt:vector size="40" baseType="lpstr">
      <vt:lpstr>Cover </vt:lpstr>
      <vt:lpstr>F20 Question 6 (b) Quest</vt:lpstr>
      <vt:lpstr>F20 Question 6 (b) Sol</vt:lpstr>
      <vt:lpstr>S21 Question 2 (a) Quest</vt:lpstr>
      <vt:lpstr>S21 Question 2(a) Sol</vt:lpstr>
      <vt:lpstr>S21 Question 3 (d) Quest</vt:lpstr>
      <vt:lpstr>S21 Question 3(d) Sol</vt:lpstr>
      <vt:lpstr>S21 Question 5 (b) Quest</vt:lpstr>
      <vt:lpstr>S21 Question 5 (b) Sol</vt:lpstr>
      <vt:lpstr>S22 Question 8(a) Quest</vt:lpstr>
      <vt:lpstr>S22 Question 8(a) Sol</vt:lpstr>
      <vt:lpstr>S23 Question 5 (a) (ii) Quest</vt:lpstr>
      <vt:lpstr>S23 Question 5 (a) (ii) Sol</vt:lpstr>
      <vt:lpstr>F24 Question 2 (c) Quest</vt:lpstr>
      <vt:lpstr>F24 Question 2 (c) Sol</vt:lpstr>
      <vt:lpstr>F24 Question 5 (c) Quest</vt:lpstr>
      <vt:lpstr>F24 Question 5 (c) Sol</vt:lpstr>
      <vt:lpstr>F24 Question 5 (d) Quest</vt:lpstr>
      <vt:lpstr>F24 Question 5 (d) Sol</vt:lpstr>
      <vt:lpstr>adm_charge</vt:lpstr>
      <vt:lpstr>guar_charge</vt:lpstr>
      <vt:lpstr>Life_Y1_Benefits</vt:lpstr>
      <vt:lpstr>Life_Y1_Comm</vt:lpstr>
      <vt:lpstr>Life_Y1_Exp</vt:lpstr>
      <vt:lpstr>Life_Y1_InvInc</vt:lpstr>
      <vt:lpstr>Life_Y1_Prem</vt:lpstr>
      <vt:lpstr>Life_Y1_Reserve</vt:lpstr>
      <vt:lpstr>Life_Y2_Benefits</vt:lpstr>
      <vt:lpstr>Life_Y2_Comm</vt:lpstr>
      <vt:lpstr>Life_Y2_Exp</vt:lpstr>
      <vt:lpstr>Life_Y2_InvInc</vt:lpstr>
      <vt:lpstr>Life_Y2_Prem</vt:lpstr>
      <vt:lpstr>Life_Y2_Reserve</vt:lpstr>
      <vt:lpstr>prem</vt:lpstr>
      <vt:lpstr>'F20 Question 6 (b) Sol'!Print_Area</vt:lpstr>
      <vt:lpstr>Reins_Y1_Allowance</vt:lpstr>
      <vt:lpstr>Reins_Y1_ModCoInt</vt:lpstr>
      <vt:lpstr>Reins_Y2_Allowance</vt:lpstr>
      <vt:lpstr>Reins_Y2_ModCoInt</vt:lpstr>
      <vt:lpstr>wd_pct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Aleshia Zionce</dc:creator>
  <cp:lastModifiedBy>Douglas Norris</cp:lastModifiedBy>
  <dcterms:created xsi:type="dcterms:W3CDTF">2020-11-18T20:30:00Z</dcterms:created>
  <dcterms:modified xsi:type="dcterms:W3CDTF">2025-06-27T18:27:06Z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6a81a1a-08fa-4331-ad3e-6f6ae4ac1125_Enabled">
    <vt:lpwstr>True</vt:lpwstr>
  </property>
  <property fmtid="{D5CDD505-2E9C-101B-9397-08002B2CF9AE}" pid="3" name="MSIP_Label_56a81a1a-08fa-4331-ad3e-6f6ae4ac1125_SiteId">
    <vt:lpwstr>3bea478c-1684-4a8c-8e85-045ec54ba430</vt:lpwstr>
  </property>
  <property fmtid="{D5CDD505-2E9C-101B-9397-08002B2CF9AE}" pid="4" name="MSIP_Label_56a81a1a-08fa-4331-ad3e-6f6ae4ac1125_Owner">
    <vt:lpwstr>Sewright.Kyle@principal.com</vt:lpwstr>
  </property>
  <property fmtid="{D5CDD505-2E9C-101B-9397-08002B2CF9AE}" pid="5" name="MSIP_Label_56a81a1a-08fa-4331-ad3e-6f6ae4ac1125_SetDate">
    <vt:lpwstr>2020-11-18T20:30:09.6309332Z</vt:lpwstr>
  </property>
  <property fmtid="{D5CDD505-2E9C-101B-9397-08002B2CF9AE}" pid="6" name="MSIP_Label_56a81a1a-08fa-4331-ad3e-6f6ae4ac1125_Name">
    <vt:lpwstr>Personal</vt:lpwstr>
  </property>
  <property fmtid="{D5CDD505-2E9C-101B-9397-08002B2CF9AE}" pid="7" name="MSIP_Label_56a81a1a-08fa-4331-ad3e-6f6ae4ac1125_Application">
    <vt:lpwstr>Microsoft Azure Information Protection</vt:lpwstr>
  </property>
  <property fmtid="{D5CDD505-2E9C-101B-9397-08002B2CF9AE}" pid="8" name="MSIP_Label_56a81a1a-08fa-4331-ad3e-6f6ae4ac1125_ActionId">
    <vt:lpwstr>88d17dcb-72ec-4bec-a347-942c0321b2c2</vt:lpwstr>
  </property>
  <property fmtid="{D5CDD505-2E9C-101B-9397-08002B2CF9AE}" pid="9" name="MSIP_Label_56a81a1a-08fa-4331-ad3e-6f6ae4ac1125_Extended_MSFT_Method">
    <vt:lpwstr>Manual</vt:lpwstr>
  </property>
  <property fmtid="{D5CDD505-2E9C-101B-9397-08002B2CF9AE}" pid="10" name="MSIP_Label_8f0b5d98-aa4b-42ad-b5be-1e75bbcbb7d7_Enabled">
    <vt:lpwstr>true</vt:lpwstr>
  </property>
  <property fmtid="{D5CDD505-2E9C-101B-9397-08002B2CF9AE}" pid="11" name="MSIP_Label_8f0b5d98-aa4b-42ad-b5be-1e75bbcbb7d7_SetDate">
    <vt:lpwstr>2025-05-05T21:29:12Z</vt:lpwstr>
  </property>
  <property fmtid="{D5CDD505-2E9C-101B-9397-08002B2CF9AE}" pid="12" name="MSIP_Label_8f0b5d98-aa4b-42ad-b5be-1e75bbcbb7d7_Method">
    <vt:lpwstr>Standard</vt:lpwstr>
  </property>
  <property fmtid="{D5CDD505-2E9C-101B-9397-08002B2CF9AE}" pid="13" name="MSIP_Label_8f0b5d98-aa4b-42ad-b5be-1e75bbcbb7d7_Name">
    <vt:lpwstr>Internal-pilot</vt:lpwstr>
  </property>
  <property fmtid="{D5CDD505-2E9C-101B-9397-08002B2CF9AE}" pid="14" name="MSIP_Label_8f0b5d98-aa4b-42ad-b5be-1e75bbcbb7d7_SiteId">
    <vt:lpwstr>a651e8f0-93d2-41c2-88b6-e8c5a1ad2375</vt:lpwstr>
  </property>
  <property fmtid="{D5CDD505-2E9C-101B-9397-08002B2CF9AE}" pid="15" name="MSIP_Label_8f0b5d98-aa4b-42ad-b5be-1e75bbcbb7d7_ActionId">
    <vt:lpwstr>8a3fc57a-8244-48a7-bb12-0e4fbbb1bf8b</vt:lpwstr>
  </property>
  <property fmtid="{D5CDD505-2E9C-101B-9397-08002B2CF9AE}" pid="16" name="MSIP_Label_8f0b5d98-aa4b-42ad-b5be-1e75bbcbb7d7_ContentBits">
    <vt:lpwstr>0</vt:lpwstr>
  </property>
  <property fmtid="{D5CDD505-2E9C-101B-9397-08002B2CF9AE}" pid="17" name="MSIP_Label_8f0b5d98-aa4b-42ad-b5be-1e75bbcbb7d7_Tag">
    <vt:lpwstr>10, 3, 0, 1</vt:lpwstr>
  </property>
  <property fmtid="{D5CDD505-2E9C-101B-9397-08002B2CF9AE}" pid="18" name="ContentTypeId">
    <vt:lpwstr>0x010100F6AE639BB4E74542A43DE6E767DBCE18</vt:lpwstr>
  </property>
</Properties>
</file>