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M:\Education\1EOCs\1FSA Redesign\Group Health\GH Finance and Valuation\GH FV Fall 2021 and Spring 2022\"/>
    </mc:Choice>
  </mc:AlternateContent>
  <xr:revisionPtr revIDLastSave="0" documentId="8_{E601F8D5-5455-4DE8-B65F-EFFD0980304A}" xr6:coauthVersionLast="45" xr6:coauthVersionMax="45" xr10:uidLastSave="{00000000-0000-0000-0000-000000000000}"/>
  <bookViews>
    <workbookView xWindow="3179" yWindow="611" windowWidth="22687" windowHeight="13273" tabRatio="780" xr2:uid="{00000000-000D-0000-FFFF-FFFF00000000}"/>
  </bookViews>
  <sheets>
    <sheet name="Read me" sheetId="23" r:id="rId1"/>
    <sheet name="Learning Objectives" sheetId="24" r:id="rId2"/>
    <sheet name="Assumptions" sheetId="8" r:id="rId3"/>
    <sheet name="Base" sheetId="6" r:id="rId4"/>
    <sheet name="Expense Shock no Assn Change" sheetId="20" state="hidden" r:id="rId5"/>
    <sheet name="Expense Shock" sheetId="21" r:id="rId6"/>
    <sheet name="Lapse Shock" sheetId="22" r:id="rId7"/>
  </sheets>
  <definedNames>
    <definedName name="_xlnm.Print_Area" localSheetId="0">'Read me'!$B$1:$N$25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2" i="8" l="1"/>
  <c r="Y20" i="22" l="1"/>
  <c r="X20" i="22"/>
  <c r="W20" i="22"/>
  <c r="V20" i="22"/>
  <c r="U20" i="22"/>
  <c r="T20" i="22"/>
  <c r="S20" i="22"/>
  <c r="R20" i="22"/>
  <c r="Q20" i="22"/>
  <c r="P20" i="22"/>
  <c r="O20" i="22"/>
  <c r="Y98" i="22" l="1"/>
  <c r="X98" i="22"/>
  <c r="W98" i="22"/>
  <c r="V98" i="22"/>
  <c r="U98" i="22"/>
  <c r="T98" i="22"/>
  <c r="S98" i="22"/>
  <c r="R98" i="22"/>
  <c r="Q98" i="22"/>
  <c r="P98" i="22"/>
  <c r="O98" i="22"/>
  <c r="N98" i="22"/>
  <c r="M98" i="22"/>
  <c r="L98" i="22"/>
  <c r="K98" i="22"/>
  <c r="J98" i="22"/>
  <c r="I98" i="22"/>
  <c r="H98" i="22"/>
  <c r="G98" i="22"/>
  <c r="Y92" i="22"/>
  <c r="X92" i="22"/>
  <c r="W92" i="22"/>
  <c r="V92" i="22"/>
  <c r="U92" i="22"/>
  <c r="T92" i="22"/>
  <c r="S92" i="22"/>
  <c r="R92" i="22"/>
  <c r="Q92" i="22"/>
  <c r="P92" i="22"/>
  <c r="O92" i="22"/>
  <c r="M92" i="22"/>
  <c r="L92" i="22"/>
  <c r="K92" i="22"/>
  <c r="J92" i="22"/>
  <c r="I92" i="22"/>
  <c r="H92" i="22"/>
  <c r="G92" i="22"/>
  <c r="F92" i="22"/>
  <c r="Y88" i="22"/>
  <c r="X88" i="22"/>
  <c r="W88" i="22"/>
  <c r="V88" i="22"/>
  <c r="U88" i="22"/>
  <c r="T88" i="22"/>
  <c r="S88" i="22"/>
  <c r="R88" i="22"/>
  <c r="Q88" i="22"/>
  <c r="P88" i="22"/>
  <c r="O88" i="22"/>
  <c r="N88" i="22"/>
  <c r="M88" i="22"/>
  <c r="L88" i="22"/>
  <c r="K88" i="22"/>
  <c r="J88" i="22"/>
  <c r="I88" i="22"/>
  <c r="H88" i="22"/>
  <c r="G88" i="22"/>
  <c r="F88" i="22"/>
  <c r="Y87" i="22"/>
  <c r="X87" i="22"/>
  <c r="W87" i="22"/>
  <c r="V87" i="22"/>
  <c r="U87" i="22"/>
  <c r="T87" i="22"/>
  <c r="S87" i="22"/>
  <c r="R87" i="22"/>
  <c r="Q87" i="22"/>
  <c r="P87" i="22"/>
  <c r="O87" i="22"/>
  <c r="N87" i="22"/>
  <c r="M87" i="22"/>
  <c r="L87" i="22"/>
  <c r="K87" i="22"/>
  <c r="J87" i="22"/>
  <c r="I87" i="22"/>
  <c r="H87" i="22"/>
  <c r="G87" i="22"/>
  <c r="F86" i="22"/>
  <c r="F36" i="22"/>
  <c r="Y24" i="22"/>
  <c r="X24" i="22"/>
  <c r="W24" i="22"/>
  <c r="V24" i="22"/>
  <c r="U24" i="22"/>
  <c r="T24" i="22"/>
  <c r="S24" i="22"/>
  <c r="R24" i="22"/>
  <c r="Q24" i="22"/>
  <c r="P24" i="22"/>
  <c r="O24" i="22"/>
  <c r="N24" i="22"/>
  <c r="M24" i="22"/>
  <c r="L24" i="22"/>
  <c r="K24" i="22"/>
  <c r="J24" i="22"/>
  <c r="I24" i="22"/>
  <c r="H24" i="22"/>
  <c r="G24" i="22"/>
  <c r="Y22" i="22"/>
  <c r="X22" i="22"/>
  <c r="W22" i="22"/>
  <c r="V22" i="22"/>
  <c r="U22" i="22"/>
  <c r="T22" i="22"/>
  <c r="S22" i="22"/>
  <c r="R22" i="22"/>
  <c r="Q22" i="22"/>
  <c r="P22" i="22"/>
  <c r="O22" i="22"/>
  <c r="N22" i="22"/>
  <c r="M22" i="22"/>
  <c r="L22" i="22"/>
  <c r="K22" i="22"/>
  <c r="J22" i="22"/>
  <c r="I22" i="22"/>
  <c r="H22" i="22"/>
  <c r="G22" i="22"/>
  <c r="F21" i="22"/>
  <c r="N20" i="22"/>
  <c r="M20" i="22"/>
  <c r="L20" i="22"/>
  <c r="K20" i="22"/>
  <c r="J20" i="22"/>
  <c r="I20" i="22"/>
  <c r="H20" i="22"/>
  <c r="G20" i="22"/>
  <c r="G5" i="22"/>
  <c r="H5" i="22" s="1"/>
  <c r="I5" i="22" s="1"/>
  <c r="J5" i="22" s="1"/>
  <c r="K5" i="22" s="1"/>
  <c r="L5" i="22" s="1"/>
  <c r="M5" i="22" s="1"/>
  <c r="N5" i="22" s="1"/>
  <c r="O5" i="22" s="1"/>
  <c r="P5" i="22" s="1"/>
  <c r="Q5" i="22" s="1"/>
  <c r="R5" i="22" s="1"/>
  <c r="S5" i="22" s="1"/>
  <c r="T5" i="22" s="1"/>
  <c r="U5" i="22" s="1"/>
  <c r="V5" i="22" s="1"/>
  <c r="W5" i="22" s="1"/>
  <c r="X5" i="22" s="1"/>
  <c r="Y5" i="22" s="1"/>
  <c r="F37" i="22" l="1"/>
  <c r="F38" i="22"/>
  <c r="F39" i="22" l="1"/>
  <c r="G36" i="22" s="1"/>
  <c r="G38" i="22"/>
  <c r="G39" i="22" s="1"/>
  <c r="H36" i="22" s="1"/>
  <c r="G37" i="22"/>
  <c r="H38" i="22" l="1"/>
  <c r="H37" i="22"/>
  <c r="H39" i="22" l="1"/>
  <c r="I36" i="22" s="1"/>
  <c r="I37" i="22" s="1"/>
  <c r="I38" i="22"/>
  <c r="I39" i="22" l="1"/>
  <c r="J36" i="22" s="1"/>
  <c r="J38" i="22" l="1"/>
  <c r="J39" i="22" s="1"/>
  <c r="K36" i="22" s="1"/>
  <c r="J37" i="22"/>
  <c r="K38" i="22" l="1"/>
  <c r="K37" i="22"/>
  <c r="K39" i="22" s="1"/>
  <c r="L36" i="22" s="1"/>
  <c r="L38" i="22" l="1"/>
  <c r="L39" i="22" s="1"/>
  <c r="M36" i="22" s="1"/>
  <c r="L37" i="22"/>
  <c r="M37" i="22" l="1"/>
  <c r="M39" i="22" s="1"/>
  <c r="N36" i="22" s="1"/>
  <c r="M38" i="22"/>
  <c r="N19" i="22" l="1"/>
  <c r="N21" i="22" s="1"/>
  <c r="N23" i="22"/>
  <c r="N38" i="22"/>
  <c r="N39" i="22" s="1"/>
  <c r="O36" i="22" s="1"/>
  <c r="N25" i="22"/>
  <c r="N116" i="22" s="1"/>
  <c r="N37" i="22"/>
  <c r="N26" i="22" s="1"/>
  <c r="O19" i="22" l="1"/>
  <c r="O25" i="22"/>
  <c r="O23" i="22"/>
  <c r="O38" i="22"/>
  <c r="O37" i="22"/>
  <c r="O26" i="22" s="1"/>
  <c r="O116" i="22"/>
  <c r="N111" i="22"/>
  <c r="O106" i="22" l="1"/>
  <c r="O33" i="22"/>
  <c r="O21" i="22"/>
  <c r="O56" i="22"/>
  <c r="O39" i="22"/>
  <c r="P36" i="22" s="1"/>
  <c r="O89" i="22"/>
  <c r="N112" i="22"/>
  <c r="O111" i="22"/>
  <c r="O107" i="22" l="1"/>
  <c r="O57" i="22"/>
  <c r="O71" i="22"/>
  <c r="P25" i="22"/>
  <c r="P23" i="22"/>
  <c r="P19" i="22"/>
  <c r="O90" i="22"/>
  <c r="O112" i="22"/>
  <c r="N27" i="22"/>
  <c r="P38" i="22"/>
  <c r="P39" i="22" s="1"/>
  <c r="Q36" i="22" s="1"/>
  <c r="P37" i="22"/>
  <c r="P26" i="22" s="1"/>
  <c r="P116" i="22"/>
  <c r="P56" i="22" l="1"/>
  <c r="P21" i="22"/>
  <c r="P106" i="22"/>
  <c r="P33" i="22"/>
  <c r="Q25" i="22"/>
  <c r="Q116" i="22" s="1"/>
  <c r="Q23" i="22"/>
  <c r="Q19" i="22"/>
  <c r="O27" i="22"/>
  <c r="Q38" i="22"/>
  <c r="P111" i="22"/>
  <c r="O105" i="22"/>
  <c r="P89" i="22"/>
  <c r="Q56" i="22" l="1"/>
  <c r="Q21" i="22"/>
  <c r="P71" i="22"/>
  <c r="P107" i="22"/>
  <c r="P57" i="22"/>
  <c r="P90" i="22" s="1"/>
  <c r="Q89" i="22"/>
  <c r="P112" i="22"/>
  <c r="Q107" i="22" l="1"/>
  <c r="P105" i="22"/>
  <c r="Q112" i="22"/>
  <c r="P27" i="22"/>
  <c r="Y98" i="21" l="1"/>
  <c r="X98" i="21"/>
  <c r="W98" i="21"/>
  <c r="V98" i="21"/>
  <c r="U98" i="21"/>
  <c r="T98" i="21"/>
  <c r="S98" i="21"/>
  <c r="R98" i="21"/>
  <c r="Q98" i="21"/>
  <c r="P98" i="21"/>
  <c r="O98" i="21"/>
  <c r="N98" i="21"/>
  <c r="M98" i="21"/>
  <c r="L98" i="21"/>
  <c r="K98" i="21"/>
  <c r="J98" i="21"/>
  <c r="I98" i="21"/>
  <c r="H98" i="21"/>
  <c r="G98" i="21"/>
  <c r="Y92" i="21"/>
  <c r="X92" i="21"/>
  <c r="W92" i="21"/>
  <c r="V92" i="21"/>
  <c r="U92" i="21"/>
  <c r="T92" i="21"/>
  <c r="S92" i="21"/>
  <c r="R92" i="21"/>
  <c r="Q92" i="21"/>
  <c r="P92" i="21"/>
  <c r="O92" i="21"/>
  <c r="N92" i="21"/>
  <c r="M92" i="21"/>
  <c r="L92" i="21"/>
  <c r="K92" i="21"/>
  <c r="J92" i="21"/>
  <c r="I92" i="21"/>
  <c r="H92" i="21"/>
  <c r="G92" i="21"/>
  <c r="F92" i="21"/>
  <c r="Y88" i="21"/>
  <c r="X88" i="21"/>
  <c r="W88" i="21"/>
  <c r="V88" i="21"/>
  <c r="U88" i="21"/>
  <c r="T88" i="21"/>
  <c r="S88" i="21"/>
  <c r="R88" i="21"/>
  <c r="Q88" i="21"/>
  <c r="P88" i="21"/>
  <c r="O88" i="21"/>
  <c r="N88" i="21"/>
  <c r="M88" i="21"/>
  <c r="L88" i="21"/>
  <c r="K88" i="21"/>
  <c r="I88" i="21"/>
  <c r="H88" i="21"/>
  <c r="G88" i="21"/>
  <c r="F88" i="21"/>
  <c r="Y87" i="21"/>
  <c r="X87" i="21"/>
  <c r="W87" i="21"/>
  <c r="V87" i="21"/>
  <c r="U87" i="21"/>
  <c r="T87" i="21"/>
  <c r="S87" i="21"/>
  <c r="R87" i="21"/>
  <c r="Q87" i="21"/>
  <c r="P87" i="21"/>
  <c r="O87" i="21"/>
  <c r="N87" i="21"/>
  <c r="M87" i="21"/>
  <c r="L87" i="21"/>
  <c r="K87" i="21"/>
  <c r="J87" i="21"/>
  <c r="I87" i="21"/>
  <c r="H87" i="21"/>
  <c r="G87" i="21"/>
  <c r="F86" i="21"/>
  <c r="F36" i="21"/>
  <c r="F14" i="21" s="1"/>
  <c r="F25" i="21" s="1"/>
  <c r="Y24" i="21"/>
  <c r="X24" i="21"/>
  <c r="W24" i="21"/>
  <c r="V24" i="21"/>
  <c r="U24" i="21"/>
  <c r="T24" i="21"/>
  <c r="S24" i="21"/>
  <c r="R24" i="21"/>
  <c r="Q24" i="21"/>
  <c r="P24" i="21"/>
  <c r="O24" i="21"/>
  <c r="N24" i="21"/>
  <c r="M24" i="21"/>
  <c r="L24" i="21"/>
  <c r="K24" i="21"/>
  <c r="J24" i="21"/>
  <c r="I24" i="21"/>
  <c r="H24" i="21"/>
  <c r="G24" i="21"/>
  <c r="Y22" i="21"/>
  <c r="X22" i="21"/>
  <c r="W22" i="21"/>
  <c r="V22" i="21"/>
  <c r="U22" i="21"/>
  <c r="T22" i="21"/>
  <c r="S22" i="21"/>
  <c r="R22" i="21"/>
  <c r="Q22" i="21"/>
  <c r="P22" i="21"/>
  <c r="O22" i="21"/>
  <c r="N22" i="21"/>
  <c r="M22" i="21"/>
  <c r="L22" i="21"/>
  <c r="K22" i="21"/>
  <c r="J22" i="21"/>
  <c r="I22" i="21"/>
  <c r="H22" i="21"/>
  <c r="G22" i="21"/>
  <c r="F21" i="21"/>
  <c r="Y20" i="21"/>
  <c r="X20" i="21"/>
  <c r="W20" i="21"/>
  <c r="V20" i="21"/>
  <c r="U20" i="21"/>
  <c r="T20" i="21"/>
  <c r="S20" i="21"/>
  <c r="R20" i="21"/>
  <c r="Q20" i="21"/>
  <c r="P20" i="21"/>
  <c r="O20" i="21"/>
  <c r="N20" i="21"/>
  <c r="M20" i="21"/>
  <c r="L20" i="21"/>
  <c r="K20" i="21"/>
  <c r="J20" i="21"/>
  <c r="I20" i="21"/>
  <c r="H20" i="21"/>
  <c r="G20" i="21"/>
  <c r="F13" i="21"/>
  <c r="F24" i="21" s="1"/>
  <c r="F8" i="21"/>
  <c r="F56" i="21" s="1"/>
  <c r="F89" i="21" s="1"/>
  <c r="G5" i="21"/>
  <c r="H5" i="21" s="1"/>
  <c r="I5" i="21" s="1"/>
  <c r="J5" i="21" s="1"/>
  <c r="K5" i="21" s="1"/>
  <c r="L5" i="21" s="1"/>
  <c r="M5" i="21" s="1"/>
  <c r="N5" i="21" s="1"/>
  <c r="O5" i="21" s="1"/>
  <c r="P5" i="21" s="1"/>
  <c r="Q5" i="21" s="1"/>
  <c r="R5" i="21" s="1"/>
  <c r="S5" i="21" s="1"/>
  <c r="T5" i="21" s="1"/>
  <c r="U5" i="21" s="1"/>
  <c r="V5" i="21" s="1"/>
  <c r="W5" i="21" s="1"/>
  <c r="X5" i="21" s="1"/>
  <c r="Y5" i="21" s="1"/>
  <c r="Y98" i="20"/>
  <c r="X98" i="20"/>
  <c r="W98" i="20"/>
  <c r="V98" i="20"/>
  <c r="U98" i="20"/>
  <c r="T98" i="20"/>
  <c r="S98" i="20"/>
  <c r="R98" i="20"/>
  <c r="Q98" i="20"/>
  <c r="P98" i="20"/>
  <c r="O98" i="20"/>
  <c r="N98" i="20"/>
  <c r="M98" i="20"/>
  <c r="L98" i="20"/>
  <c r="K98" i="20"/>
  <c r="J98" i="20"/>
  <c r="I98" i="20"/>
  <c r="H98" i="20"/>
  <c r="G98" i="20"/>
  <c r="Y92" i="20"/>
  <c r="X92" i="20"/>
  <c r="W92" i="20"/>
  <c r="V92" i="20"/>
  <c r="U92" i="20"/>
  <c r="T92" i="20"/>
  <c r="S92" i="20"/>
  <c r="R92" i="20"/>
  <c r="Q92" i="20"/>
  <c r="P92" i="20"/>
  <c r="O92" i="20"/>
  <c r="N92" i="20"/>
  <c r="M92" i="20"/>
  <c r="L92" i="20"/>
  <c r="K92" i="20"/>
  <c r="J92" i="20"/>
  <c r="I92" i="20"/>
  <c r="H92" i="20"/>
  <c r="G92" i="20"/>
  <c r="F92" i="20"/>
  <c r="Y88" i="20"/>
  <c r="X88" i="20"/>
  <c r="W88" i="20"/>
  <c r="V88" i="20"/>
  <c r="U88" i="20"/>
  <c r="T88" i="20"/>
  <c r="S88" i="20"/>
  <c r="R88" i="20"/>
  <c r="Q88" i="20"/>
  <c r="P88" i="20"/>
  <c r="O88" i="20"/>
  <c r="N88" i="20"/>
  <c r="M88" i="20"/>
  <c r="L88" i="20"/>
  <c r="K88" i="20"/>
  <c r="J88" i="20"/>
  <c r="I88" i="20"/>
  <c r="H88" i="20"/>
  <c r="G88" i="20"/>
  <c r="F88" i="20"/>
  <c r="Y87" i="20"/>
  <c r="X87" i="20"/>
  <c r="W87" i="20"/>
  <c r="V87" i="20"/>
  <c r="U87" i="20"/>
  <c r="T87" i="20"/>
  <c r="S87" i="20"/>
  <c r="R87" i="20"/>
  <c r="Q87" i="20"/>
  <c r="P87" i="20"/>
  <c r="O87" i="20"/>
  <c r="N87" i="20"/>
  <c r="M87" i="20"/>
  <c r="L87" i="20"/>
  <c r="K87" i="20"/>
  <c r="J87" i="20"/>
  <c r="I87" i="20"/>
  <c r="H87" i="20"/>
  <c r="G87" i="20"/>
  <c r="F86" i="20"/>
  <c r="F36" i="20"/>
  <c r="Y24" i="20"/>
  <c r="X24" i="20"/>
  <c r="W24" i="20"/>
  <c r="V24" i="20"/>
  <c r="U24" i="20"/>
  <c r="T24" i="20"/>
  <c r="S24" i="20"/>
  <c r="R24" i="20"/>
  <c r="Q24" i="20"/>
  <c r="P24" i="20"/>
  <c r="O24" i="20"/>
  <c r="N24" i="20"/>
  <c r="M24" i="20"/>
  <c r="L24" i="20"/>
  <c r="K24" i="20"/>
  <c r="J24" i="20"/>
  <c r="I24" i="20"/>
  <c r="H24" i="20"/>
  <c r="G24" i="20"/>
  <c r="Y22" i="20"/>
  <c r="X22" i="20"/>
  <c r="W22" i="20"/>
  <c r="V22" i="20"/>
  <c r="U22" i="20"/>
  <c r="T22" i="20"/>
  <c r="S22" i="20"/>
  <c r="R22" i="20"/>
  <c r="Q22" i="20"/>
  <c r="P22" i="20"/>
  <c r="O22" i="20"/>
  <c r="N22" i="20"/>
  <c r="M22" i="20"/>
  <c r="L22" i="20"/>
  <c r="K22" i="20"/>
  <c r="J22" i="20"/>
  <c r="I22" i="20"/>
  <c r="H22" i="20"/>
  <c r="G22" i="20"/>
  <c r="F21" i="20"/>
  <c r="Y20" i="20"/>
  <c r="X20" i="20"/>
  <c r="W20" i="20"/>
  <c r="V20" i="20"/>
  <c r="U20" i="20"/>
  <c r="T20" i="20"/>
  <c r="S20" i="20"/>
  <c r="R20" i="20"/>
  <c r="Q20" i="20"/>
  <c r="P20" i="20"/>
  <c r="O20" i="20"/>
  <c r="N20" i="20"/>
  <c r="M20" i="20"/>
  <c r="L20" i="20"/>
  <c r="K20" i="20"/>
  <c r="J20" i="20"/>
  <c r="I20" i="20"/>
  <c r="H20" i="20"/>
  <c r="G20" i="20"/>
  <c r="F14" i="20"/>
  <c r="F25" i="20" s="1"/>
  <c r="F13" i="20"/>
  <c r="F24" i="20" s="1"/>
  <c r="F12" i="20"/>
  <c r="F23" i="20" s="1"/>
  <c r="F11" i="20"/>
  <c r="F22" i="20" s="1"/>
  <c r="F8" i="20"/>
  <c r="F19" i="20" s="1"/>
  <c r="H5" i="20"/>
  <c r="I5" i="20" s="1"/>
  <c r="J5" i="20" s="1"/>
  <c r="K5" i="20" s="1"/>
  <c r="L5" i="20" s="1"/>
  <c r="M5" i="20" s="1"/>
  <c r="N5" i="20" s="1"/>
  <c r="O5" i="20" s="1"/>
  <c r="P5" i="20" s="1"/>
  <c r="Q5" i="20" s="1"/>
  <c r="R5" i="20" s="1"/>
  <c r="S5" i="20" s="1"/>
  <c r="T5" i="20" s="1"/>
  <c r="U5" i="20" s="1"/>
  <c r="V5" i="20" s="1"/>
  <c r="W5" i="20" s="1"/>
  <c r="X5" i="20" s="1"/>
  <c r="Y5" i="20" s="1"/>
  <c r="G5" i="20"/>
  <c r="F11" i="21" l="1"/>
  <c r="F22" i="21" s="1"/>
  <c r="AB22" i="21" s="1"/>
  <c r="F12" i="21"/>
  <c r="AB22" i="20"/>
  <c r="F116" i="21"/>
  <c r="AB24" i="21"/>
  <c r="F9" i="21"/>
  <c r="F107" i="21"/>
  <c r="F19" i="21"/>
  <c r="F23" i="21"/>
  <c r="F112" i="21" s="1"/>
  <c r="F37" i="21"/>
  <c r="F15" i="21" s="1"/>
  <c r="F38" i="21"/>
  <c r="F116" i="20"/>
  <c r="AB24" i="20"/>
  <c r="F56" i="20"/>
  <c r="F89" i="20" s="1"/>
  <c r="F9" i="20"/>
  <c r="F112" i="20"/>
  <c r="F107" i="20"/>
  <c r="F37" i="20"/>
  <c r="F15" i="20" s="1"/>
  <c r="F38" i="20"/>
  <c r="F98" i="21" l="1"/>
  <c r="F57" i="21"/>
  <c r="F90" i="21" s="1"/>
  <c r="F20" i="21"/>
  <c r="AB20" i="21" s="1"/>
  <c r="E46" i="21"/>
  <c r="F106" i="21"/>
  <c r="F30" i="21"/>
  <c r="F26" i="21"/>
  <c r="F16" i="21"/>
  <c r="F39" i="21"/>
  <c r="G36" i="21" s="1"/>
  <c r="F39" i="20"/>
  <c r="G36" i="20" s="1"/>
  <c r="F106" i="20"/>
  <c r="F30" i="20"/>
  <c r="F26" i="20"/>
  <c r="F98" i="20"/>
  <c r="F57" i="20"/>
  <c r="F90" i="20" s="1"/>
  <c r="E46" i="20"/>
  <c r="F20" i="20"/>
  <c r="F16" i="20"/>
  <c r="F99" i="21" l="1"/>
  <c r="G14" i="21"/>
  <c r="G25" i="21" s="1"/>
  <c r="G37" i="21"/>
  <c r="G15" i="21" s="1"/>
  <c r="G12" i="21"/>
  <c r="G38" i="21"/>
  <c r="G39" i="21" s="1"/>
  <c r="H36" i="21" s="1"/>
  <c r="G8" i="21"/>
  <c r="F111" i="21"/>
  <c r="F71" i="21"/>
  <c r="F33" i="21"/>
  <c r="F27" i="21"/>
  <c r="AB20" i="20"/>
  <c r="F27" i="20"/>
  <c r="F111" i="20"/>
  <c r="G38" i="20"/>
  <c r="G37" i="20"/>
  <c r="G15" i="20" s="1"/>
  <c r="G8" i="20"/>
  <c r="G12" i="20"/>
  <c r="G14" i="20"/>
  <c r="G25" i="20" s="1"/>
  <c r="F99" i="20"/>
  <c r="F71" i="20"/>
  <c r="F33" i="20"/>
  <c r="G39" i="20" l="1"/>
  <c r="H36" i="20" s="1"/>
  <c r="H23" i="20" s="1"/>
  <c r="H38" i="21"/>
  <c r="H12" i="21"/>
  <c r="H23" i="21"/>
  <c r="H14" i="21"/>
  <c r="H25" i="21" s="1"/>
  <c r="H116" i="21" s="1"/>
  <c r="H8" i="21"/>
  <c r="H37" i="21"/>
  <c r="H15" i="21" s="1"/>
  <c r="G56" i="21"/>
  <c r="G89" i="21" s="1"/>
  <c r="G19" i="21"/>
  <c r="G10" i="21"/>
  <c r="G16" i="21" s="1"/>
  <c r="G116" i="21"/>
  <c r="F105" i="21"/>
  <c r="G23" i="21"/>
  <c r="G106" i="21"/>
  <c r="G26" i="21"/>
  <c r="G30" i="21"/>
  <c r="G56" i="20"/>
  <c r="G89" i="20" s="1"/>
  <c r="G10" i="20"/>
  <c r="G19" i="20"/>
  <c r="G106" i="20"/>
  <c r="G30" i="20"/>
  <c r="G26" i="20"/>
  <c r="G23" i="20"/>
  <c r="F105" i="20"/>
  <c r="G116" i="20"/>
  <c r="H12" i="20" l="1"/>
  <c r="H14" i="20"/>
  <c r="H25" i="20" s="1"/>
  <c r="H116" i="20" s="1"/>
  <c r="H37" i="20"/>
  <c r="H15" i="20" s="1"/>
  <c r="H38" i="20"/>
  <c r="H8" i="20"/>
  <c r="H39" i="21"/>
  <c r="I36" i="21" s="1"/>
  <c r="I38" i="21" s="1"/>
  <c r="I37" i="21"/>
  <c r="I15" i="21" s="1"/>
  <c r="G71" i="21"/>
  <c r="G33" i="21"/>
  <c r="H56" i="21"/>
  <c r="H89" i="21" s="1"/>
  <c r="H16" i="21"/>
  <c r="H10" i="21"/>
  <c r="H19" i="21"/>
  <c r="G111" i="21"/>
  <c r="G107" i="21"/>
  <c r="G57" i="21"/>
  <c r="G90" i="21" s="1"/>
  <c r="G21" i="21"/>
  <c r="G27" i="21"/>
  <c r="H106" i="21"/>
  <c r="H26" i="21"/>
  <c r="H111" i="21" s="1"/>
  <c r="H30" i="21"/>
  <c r="G71" i="20"/>
  <c r="G33" i="20"/>
  <c r="H106" i="20"/>
  <c r="H30" i="20"/>
  <c r="H26" i="20"/>
  <c r="H111" i="20" s="1"/>
  <c r="G107" i="20"/>
  <c r="G57" i="20"/>
  <c r="G90" i="20" s="1"/>
  <c r="G21" i="20"/>
  <c r="H19" i="20"/>
  <c r="H56" i="20"/>
  <c r="H89" i="20" s="1"/>
  <c r="H10" i="20"/>
  <c r="G111" i="20"/>
  <c r="H39" i="20"/>
  <c r="I36" i="20" s="1"/>
  <c r="I23" i="20" s="1"/>
  <c r="G16" i="20"/>
  <c r="I8" i="21" l="1"/>
  <c r="I10" i="21" s="1"/>
  <c r="I16" i="21" s="1"/>
  <c r="I12" i="21"/>
  <c r="I39" i="21"/>
  <c r="J36" i="21" s="1"/>
  <c r="J37" i="21" s="1"/>
  <c r="J15" i="21" s="1"/>
  <c r="I14" i="21"/>
  <c r="I25" i="21" s="1"/>
  <c r="I116" i="21" s="1"/>
  <c r="I23" i="21"/>
  <c r="I19" i="21"/>
  <c r="H107" i="21"/>
  <c r="H57" i="21"/>
  <c r="H90" i="21" s="1"/>
  <c r="H21" i="21"/>
  <c r="H112" i="21" s="1"/>
  <c r="G105" i="21"/>
  <c r="H71" i="21"/>
  <c r="H33" i="21"/>
  <c r="G112" i="21"/>
  <c r="J12" i="21"/>
  <c r="I106" i="21"/>
  <c r="I26" i="21"/>
  <c r="I111" i="21" s="1"/>
  <c r="I30" i="21"/>
  <c r="G112" i="20"/>
  <c r="H16" i="20"/>
  <c r="H71" i="20"/>
  <c r="H33" i="20"/>
  <c r="I37" i="20"/>
  <c r="I15" i="20" s="1"/>
  <c r="I14" i="20"/>
  <c r="I25" i="20" s="1"/>
  <c r="I38" i="20"/>
  <c r="I12" i="20"/>
  <c r="I8" i="20"/>
  <c r="G105" i="20"/>
  <c r="H107" i="20"/>
  <c r="H57" i="20"/>
  <c r="H90" i="20" s="1"/>
  <c r="H21" i="20"/>
  <c r="H112" i="20" s="1"/>
  <c r="G27" i="20"/>
  <c r="J39" i="21" l="1"/>
  <c r="K36" i="21" s="1"/>
  <c r="I56" i="21"/>
  <c r="I89" i="21" s="1"/>
  <c r="J14" i="21"/>
  <c r="J25" i="21" s="1"/>
  <c r="J23" i="21"/>
  <c r="J38" i="21"/>
  <c r="J8" i="21"/>
  <c r="I39" i="20"/>
  <c r="J36" i="20" s="1"/>
  <c r="J23" i="20" s="1"/>
  <c r="K38" i="21"/>
  <c r="K23" i="21"/>
  <c r="K14" i="21"/>
  <c r="K25" i="21" s="1"/>
  <c r="H105" i="21"/>
  <c r="H27" i="21"/>
  <c r="I71" i="21"/>
  <c r="I33" i="21"/>
  <c r="I107" i="21"/>
  <c r="I21" i="21"/>
  <c r="I112" i="21" s="1"/>
  <c r="I57" i="21"/>
  <c r="I90" i="21" s="1"/>
  <c r="J56" i="21"/>
  <c r="J89" i="21" s="1"/>
  <c r="J10" i="21"/>
  <c r="J16" i="21" s="1"/>
  <c r="J19" i="21"/>
  <c r="J116" i="21"/>
  <c r="J106" i="21"/>
  <c r="J30" i="21"/>
  <c r="J26" i="21"/>
  <c r="I27" i="21"/>
  <c r="J38" i="20"/>
  <c r="J37" i="20"/>
  <c r="J15" i="20" s="1"/>
  <c r="J12" i="20"/>
  <c r="J8" i="20"/>
  <c r="H27" i="20"/>
  <c r="I56" i="20"/>
  <c r="I89" i="20" s="1"/>
  <c r="I19" i="20"/>
  <c r="I10" i="20"/>
  <c r="I16" i="20" s="1"/>
  <c r="I116" i="20"/>
  <c r="I106" i="20"/>
  <c r="I26" i="20"/>
  <c r="I30" i="20"/>
  <c r="H105" i="20"/>
  <c r="K39" i="21" l="1"/>
  <c r="L36" i="21" s="1"/>
  <c r="L38" i="21" s="1"/>
  <c r="J39" i="20"/>
  <c r="K36" i="20" s="1"/>
  <c r="K23" i="20" s="1"/>
  <c r="K8" i="21"/>
  <c r="K16" i="21" s="1"/>
  <c r="K37" i="21"/>
  <c r="K15" i="21" s="1"/>
  <c r="K12" i="21"/>
  <c r="J14" i="20"/>
  <c r="J25" i="20" s="1"/>
  <c r="J116" i="20" s="1"/>
  <c r="K56" i="21"/>
  <c r="K89" i="21" s="1"/>
  <c r="K19" i="21"/>
  <c r="K10" i="21"/>
  <c r="K107" i="21" s="1"/>
  <c r="K116" i="21"/>
  <c r="J71" i="21"/>
  <c r="J33" i="21"/>
  <c r="I105" i="21"/>
  <c r="K106" i="21"/>
  <c r="K30" i="21"/>
  <c r="K26" i="21"/>
  <c r="K111" i="21" s="1"/>
  <c r="J27" i="21"/>
  <c r="J111" i="21"/>
  <c r="J107" i="21"/>
  <c r="J57" i="21"/>
  <c r="J90" i="21" s="1"/>
  <c r="J21" i="21"/>
  <c r="K38" i="20"/>
  <c r="K37" i="20"/>
  <c r="K15" i="20" s="1"/>
  <c r="K8" i="20"/>
  <c r="K14" i="20"/>
  <c r="K25" i="20" s="1"/>
  <c r="K12" i="20"/>
  <c r="I111" i="20"/>
  <c r="J56" i="20"/>
  <c r="J89" i="20" s="1"/>
  <c r="J10" i="20"/>
  <c r="J19" i="20"/>
  <c r="J16" i="20"/>
  <c r="I71" i="20"/>
  <c r="I33" i="20"/>
  <c r="I107" i="20"/>
  <c r="I57" i="20"/>
  <c r="I90" i="20" s="1"/>
  <c r="I21" i="20"/>
  <c r="I27" i="20"/>
  <c r="J106" i="20"/>
  <c r="J30" i="20"/>
  <c r="J26" i="20"/>
  <c r="J111" i="20" s="1"/>
  <c r="K39" i="20" l="1"/>
  <c r="L36" i="20" s="1"/>
  <c r="L23" i="20" s="1"/>
  <c r="L14" i="21"/>
  <c r="L25" i="21" s="1"/>
  <c r="L116" i="21" s="1"/>
  <c r="K57" i="21"/>
  <c r="K90" i="21" s="1"/>
  <c r="L37" i="21"/>
  <c r="L15" i="21" s="1"/>
  <c r="L23" i="21"/>
  <c r="L8" i="21"/>
  <c r="L19" i="21" s="1"/>
  <c r="L12" i="21"/>
  <c r="L56" i="21"/>
  <c r="L89" i="21" s="1"/>
  <c r="L10" i="21"/>
  <c r="L107" i="21" s="1"/>
  <c r="J112" i="21"/>
  <c r="K71" i="21"/>
  <c r="K33" i="21"/>
  <c r="K21" i="21"/>
  <c r="K112" i="21" s="1"/>
  <c r="J105" i="21"/>
  <c r="L106" i="21"/>
  <c r="L26" i="21"/>
  <c r="L30" i="21"/>
  <c r="L37" i="20"/>
  <c r="L15" i="20" s="1"/>
  <c r="L14" i="20"/>
  <c r="L25" i="20" s="1"/>
  <c r="L8" i="20"/>
  <c r="L12" i="20"/>
  <c r="K116" i="20"/>
  <c r="I112" i="20"/>
  <c r="J107" i="20"/>
  <c r="J57" i="20"/>
  <c r="J90" i="20" s="1"/>
  <c r="J21" i="20"/>
  <c r="J112" i="20" s="1"/>
  <c r="K56" i="20"/>
  <c r="K89" i="20" s="1"/>
  <c r="K10" i="20"/>
  <c r="K16" i="20" s="1"/>
  <c r="K19" i="20"/>
  <c r="J71" i="20"/>
  <c r="J33" i="20"/>
  <c r="I105" i="20"/>
  <c r="K30" i="20"/>
  <c r="K26" i="20"/>
  <c r="K106" i="20"/>
  <c r="L57" i="21" l="1"/>
  <c r="L38" i="20"/>
  <c r="L39" i="20" s="1"/>
  <c r="M36" i="20" s="1"/>
  <c r="L16" i="21"/>
  <c r="L39" i="21"/>
  <c r="M36" i="21" s="1"/>
  <c r="K105" i="21"/>
  <c r="L111" i="21"/>
  <c r="K27" i="21"/>
  <c r="L71" i="21"/>
  <c r="L33" i="21"/>
  <c r="L90" i="21"/>
  <c r="L21" i="21"/>
  <c r="L112" i="21" s="1"/>
  <c r="J27" i="20"/>
  <c r="K71" i="20"/>
  <c r="K33" i="20"/>
  <c r="J105" i="20"/>
  <c r="L116" i="20"/>
  <c r="L106" i="20"/>
  <c r="L30" i="20"/>
  <c r="L26" i="20"/>
  <c r="L111" i="20" s="1"/>
  <c r="K111" i="20"/>
  <c r="K57" i="20"/>
  <c r="K90" i="20" s="1"/>
  <c r="K107" i="20"/>
  <c r="K21" i="20"/>
  <c r="K112" i="20" s="1"/>
  <c r="L10" i="20"/>
  <c r="L56" i="20"/>
  <c r="L89" i="20" s="1"/>
  <c r="L19" i="20"/>
  <c r="M23" i="20" l="1"/>
  <c r="M37" i="20"/>
  <c r="M15" i="20" s="1"/>
  <c r="M38" i="20"/>
  <c r="M8" i="20"/>
  <c r="M14" i="20"/>
  <c r="M25" i="20" s="1"/>
  <c r="M116" i="20" s="1"/>
  <c r="M12" i="20"/>
  <c r="M23" i="21"/>
  <c r="M14" i="21"/>
  <c r="M25" i="21" s="1"/>
  <c r="M116" i="21" s="1"/>
  <c r="M8" i="21"/>
  <c r="M38" i="21"/>
  <c r="M37" i="21"/>
  <c r="M15" i="21" s="1"/>
  <c r="M12" i="21"/>
  <c r="L27" i="21"/>
  <c r="L105" i="21"/>
  <c r="L107" i="20"/>
  <c r="L57" i="20"/>
  <c r="L90" i="20" s="1"/>
  <c r="L21" i="20"/>
  <c r="L112" i="20" s="1"/>
  <c r="L71" i="20"/>
  <c r="L33" i="20"/>
  <c r="L16" i="20"/>
  <c r="M56" i="20"/>
  <c r="M89" i="20" s="1"/>
  <c r="M19" i="20"/>
  <c r="M10" i="20"/>
  <c r="M39" i="20"/>
  <c r="N36" i="20" s="1"/>
  <c r="N23" i="20" s="1"/>
  <c r="M106" i="20"/>
  <c r="M26" i="20"/>
  <c r="M111" i="20" s="1"/>
  <c r="M30" i="20"/>
  <c r="K105" i="20"/>
  <c r="K27" i="20"/>
  <c r="M39" i="21" l="1"/>
  <c r="N36" i="21" s="1"/>
  <c r="M30" i="21"/>
  <c r="M26" i="21"/>
  <c r="M111" i="21" s="1"/>
  <c r="M106" i="21"/>
  <c r="M10" i="21"/>
  <c r="M19" i="21"/>
  <c r="M56" i="21"/>
  <c r="M89" i="21" s="1"/>
  <c r="L105" i="20"/>
  <c r="N38" i="20"/>
  <c r="N37" i="20"/>
  <c r="N15" i="20" s="1"/>
  <c r="N12" i="20"/>
  <c r="N14" i="20"/>
  <c r="N25" i="20" s="1"/>
  <c r="N116" i="20" s="1"/>
  <c r="N8" i="20"/>
  <c r="M71" i="20"/>
  <c r="M33" i="20"/>
  <c r="M107" i="20"/>
  <c r="M57" i="20"/>
  <c r="M90" i="20" s="1"/>
  <c r="M21" i="20"/>
  <c r="M112" i="20" s="1"/>
  <c r="L27" i="20"/>
  <c r="M16" i="20"/>
  <c r="M27" i="21" l="1"/>
  <c r="M16" i="21"/>
  <c r="M107" i="21"/>
  <c r="M21" i="21"/>
  <c r="M112" i="21" s="1"/>
  <c r="N39" i="20"/>
  <c r="O36" i="20" s="1"/>
  <c r="O23" i="20" s="1"/>
  <c r="M27" i="20"/>
  <c r="M71" i="21"/>
  <c r="M105" i="21" s="1"/>
  <c r="M33" i="21"/>
  <c r="N38" i="21"/>
  <c r="N12" i="21"/>
  <c r="N8" i="21"/>
  <c r="N23" i="21"/>
  <c r="N37" i="21"/>
  <c r="N14" i="21"/>
  <c r="N25" i="21" s="1"/>
  <c r="N116" i="21" s="1"/>
  <c r="M57" i="21"/>
  <c r="M90" i="21" s="1"/>
  <c r="O38" i="20"/>
  <c r="O37" i="20"/>
  <c r="O15" i="20" s="1"/>
  <c r="O8" i="20"/>
  <c r="O12" i="20"/>
  <c r="O14" i="20"/>
  <c r="O25" i="20" s="1"/>
  <c r="O116" i="20" s="1"/>
  <c r="N56" i="20"/>
  <c r="N89" i="20" s="1"/>
  <c r="N19" i="20"/>
  <c r="N10" i="20"/>
  <c r="M105" i="20"/>
  <c r="N106" i="20"/>
  <c r="N30" i="20"/>
  <c r="N26" i="20"/>
  <c r="N111" i="20" s="1"/>
  <c r="N15" i="21" l="1"/>
  <c r="N39" i="21"/>
  <c r="O36" i="21" s="1"/>
  <c r="N19" i="21"/>
  <c r="N16" i="21"/>
  <c r="N10" i="21"/>
  <c r="N56" i="21"/>
  <c r="N89" i="21" s="1"/>
  <c r="N107" i="20"/>
  <c r="N57" i="20"/>
  <c r="N90" i="20" s="1"/>
  <c r="N21" i="20"/>
  <c r="N112" i="20" s="1"/>
  <c r="O106" i="20"/>
  <c r="O30" i="20"/>
  <c r="O26" i="20"/>
  <c r="O111" i="20" s="1"/>
  <c r="N16" i="20"/>
  <c r="N27" i="20"/>
  <c r="O39" i="20"/>
  <c r="P36" i="20" s="1"/>
  <c r="P23" i="20" s="1"/>
  <c r="N71" i="20"/>
  <c r="N33" i="20"/>
  <c r="O56" i="20"/>
  <c r="O89" i="20" s="1"/>
  <c r="O10" i="20"/>
  <c r="O19" i="20"/>
  <c r="O16" i="20"/>
  <c r="N107" i="21" l="1"/>
  <c r="N21" i="21"/>
  <c r="N112" i="21" s="1"/>
  <c r="N27" i="21"/>
  <c r="N57" i="21"/>
  <c r="N90" i="21" s="1"/>
  <c r="O37" i="21"/>
  <c r="O38" i="21"/>
  <c r="O12" i="21"/>
  <c r="O23" i="21"/>
  <c r="O8" i="21"/>
  <c r="O14" i="21"/>
  <c r="O25" i="21" s="1"/>
  <c r="O116" i="21" s="1"/>
  <c r="N106" i="21"/>
  <c r="N30" i="21"/>
  <c r="N26" i="21"/>
  <c r="N111" i="21" s="1"/>
  <c r="O107" i="20"/>
  <c r="O57" i="20"/>
  <c r="O90" i="20" s="1"/>
  <c r="O21" i="20"/>
  <c r="O112" i="20" s="1"/>
  <c r="N105" i="20"/>
  <c r="P38" i="20"/>
  <c r="P37" i="20"/>
  <c r="P15" i="20" s="1"/>
  <c r="P14" i="20"/>
  <c r="P25" i="20" s="1"/>
  <c r="P116" i="20" s="1"/>
  <c r="P12" i="20"/>
  <c r="P8" i="20"/>
  <c r="O33" i="20"/>
  <c r="O71" i="20"/>
  <c r="O15" i="21" l="1"/>
  <c r="O39" i="21"/>
  <c r="P36" i="21" s="1"/>
  <c r="O27" i="20"/>
  <c r="N33" i="21"/>
  <c r="N71" i="21"/>
  <c r="N105" i="21" s="1"/>
  <c r="O56" i="21"/>
  <c r="O89" i="21" s="1"/>
  <c r="O19" i="21"/>
  <c r="O10" i="21"/>
  <c r="P106" i="20"/>
  <c r="P30" i="20"/>
  <c r="P26" i="20"/>
  <c r="P111" i="20" s="1"/>
  <c r="P56" i="20"/>
  <c r="P89" i="20" s="1"/>
  <c r="P19" i="20"/>
  <c r="P10" i="20"/>
  <c r="P39" i="20"/>
  <c r="Q36" i="20" s="1"/>
  <c r="Q23" i="20" s="1"/>
  <c r="O105" i="20"/>
  <c r="O27" i="21" l="1"/>
  <c r="O107" i="21"/>
  <c r="O16" i="21"/>
  <c r="O21" i="21"/>
  <c r="O112" i="21" s="1"/>
  <c r="P37" i="21"/>
  <c r="P23" i="21"/>
  <c r="P14" i="21"/>
  <c r="P25" i="21" s="1"/>
  <c r="P116" i="21" s="1"/>
  <c r="P12" i="21"/>
  <c r="P8" i="21"/>
  <c r="P38" i="21"/>
  <c r="O106" i="21"/>
  <c r="O26" i="21"/>
  <c r="O111" i="21" s="1"/>
  <c r="O30" i="21"/>
  <c r="O57" i="21"/>
  <c r="O90" i="21" s="1"/>
  <c r="P71" i="20"/>
  <c r="P33" i="20"/>
  <c r="Q14" i="20"/>
  <c r="Q25" i="20" s="1"/>
  <c r="Q116" i="20" s="1"/>
  <c r="Q38" i="20"/>
  <c r="Q12" i="20"/>
  <c r="Q8" i="20"/>
  <c r="P107" i="20"/>
  <c r="P21" i="20"/>
  <c r="P112" i="20" s="1"/>
  <c r="P57" i="20"/>
  <c r="P90" i="20" s="1"/>
  <c r="P16" i="20"/>
  <c r="P27" i="20"/>
  <c r="O33" i="21" l="1"/>
  <c r="O71" i="21"/>
  <c r="O105" i="21" s="1"/>
  <c r="P15" i="21"/>
  <c r="P39" i="21"/>
  <c r="Q36" i="21" s="1"/>
  <c r="P19" i="21"/>
  <c r="P56" i="21"/>
  <c r="P89" i="21" s="1"/>
  <c r="P10" i="21"/>
  <c r="P16" i="21" s="1"/>
  <c r="P105" i="20"/>
  <c r="Q56" i="20"/>
  <c r="Q89" i="20" s="1"/>
  <c r="Q19" i="20"/>
  <c r="Q10" i="20"/>
  <c r="Q23" i="21" l="1"/>
  <c r="Q38" i="21"/>
  <c r="Q8" i="21"/>
  <c r="Q12" i="21"/>
  <c r="Q14" i="21"/>
  <c r="Q25" i="21" s="1"/>
  <c r="Q116" i="21" s="1"/>
  <c r="P106" i="21"/>
  <c r="P26" i="21"/>
  <c r="P111" i="21" s="1"/>
  <c r="P30" i="21"/>
  <c r="P107" i="21"/>
  <c r="P21" i="21"/>
  <c r="P57" i="21"/>
  <c r="P90" i="21" s="1"/>
  <c r="Q107" i="20"/>
  <c r="Q21" i="20"/>
  <c r="Q112" i="20" s="1"/>
  <c r="P112" i="21" l="1"/>
  <c r="P27" i="21"/>
  <c r="P71" i="21"/>
  <c r="P105" i="21" s="1"/>
  <c r="P33" i="21"/>
  <c r="Q56" i="21"/>
  <c r="Q89" i="21" s="1"/>
  <c r="Q10" i="21"/>
  <c r="Q19" i="21"/>
  <c r="Q107" i="21" l="1"/>
  <c r="Q21" i="21"/>
  <c r="Q112" i="21" s="1"/>
  <c r="Y98" i="6" l="1"/>
  <c r="X98" i="6"/>
  <c r="W98" i="6"/>
  <c r="V98" i="6"/>
  <c r="U98" i="6"/>
  <c r="T98" i="6"/>
  <c r="S98" i="6"/>
  <c r="R98" i="6"/>
  <c r="Q98" i="6"/>
  <c r="P98" i="6"/>
  <c r="O98" i="6"/>
  <c r="N98" i="6"/>
  <c r="M98" i="6"/>
  <c r="L98" i="6"/>
  <c r="K98" i="6"/>
  <c r="J98" i="6"/>
  <c r="I98" i="6"/>
  <c r="H98" i="6"/>
  <c r="G98" i="6"/>
  <c r="Y92" i="6"/>
  <c r="X92" i="6"/>
  <c r="W92" i="6"/>
  <c r="V92" i="6"/>
  <c r="U92" i="6"/>
  <c r="T92" i="6"/>
  <c r="S92" i="6"/>
  <c r="R92" i="6"/>
  <c r="Q92" i="6"/>
  <c r="P92" i="6"/>
  <c r="O92" i="6"/>
  <c r="N92" i="6"/>
  <c r="M92" i="6"/>
  <c r="L92" i="6"/>
  <c r="K92" i="6"/>
  <c r="J92" i="6"/>
  <c r="I92" i="6"/>
  <c r="H92" i="6"/>
  <c r="G92" i="6"/>
  <c r="F92" i="6"/>
  <c r="Y88" i="6"/>
  <c r="X88" i="6"/>
  <c r="W88" i="6"/>
  <c r="V88" i="6"/>
  <c r="U88" i="6"/>
  <c r="T88" i="6"/>
  <c r="S88" i="6"/>
  <c r="R88" i="6"/>
  <c r="Q88" i="6"/>
  <c r="P88" i="6"/>
  <c r="O88" i="6"/>
  <c r="N88" i="6"/>
  <c r="M88" i="6"/>
  <c r="L88" i="6"/>
  <c r="K88" i="6"/>
  <c r="J88" i="6"/>
  <c r="I88" i="6"/>
  <c r="H88" i="6"/>
  <c r="G88" i="6"/>
  <c r="F88" i="6"/>
  <c r="Y87" i="6"/>
  <c r="X87" i="6"/>
  <c r="W87" i="6"/>
  <c r="V87" i="6"/>
  <c r="U87" i="6"/>
  <c r="T87" i="6"/>
  <c r="S87" i="6"/>
  <c r="R87" i="6"/>
  <c r="Q87" i="6"/>
  <c r="P87" i="6"/>
  <c r="O87" i="6"/>
  <c r="N87" i="6"/>
  <c r="M87" i="6"/>
  <c r="L87" i="6"/>
  <c r="K87" i="6"/>
  <c r="J87" i="6"/>
  <c r="I87" i="6"/>
  <c r="H87" i="6"/>
  <c r="G87" i="6"/>
  <c r="F86" i="6"/>
  <c r="E20" i="8" l="1"/>
  <c r="F20" i="8"/>
  <c r="G20" i="8"/>
  <c r="H20" i="8"/>
  <c r="I20" i="8"/>
  <c r="J20" i="8"/>
  <c r="K20" i="8"/>
  <c r="L20" i="8"/>
  <c r="M20" i="8"/>
  <c r="N20" i="8"/>
  <c r="O20" i="8"/>
  <c r="P20" i="8"/>
  <c r="Q20" i="8"/>
  <c r="R20" i="8"/>
  <c r="S20" i="8"/>
  <c r="T20" i="8"/>
  <c r="U20" i="8"/>
  <c r="V20" i="8"/>
  <c r="W20" i="8"/>
  <c r="D20" i="8"/>
  <c r="W22" i="8" l="1"/>
  <c r="V22" i="8"/>
  <c r="U22" i="8"/>
  <c r="T22" i="8"/>
  <c r="S22" i="8"/>
  <c r="R22" i="8"/>
  <c r="Q22" i="8"/>
  <c r="P22" i="8"/>
  <c r="O22" i="8"/>
  <c r="Q37" i="22" l="1"/>
  <c r="Q37" i="20"/>
  <c r="Q37" i="21"/>
  <c r="G20" i="6"/>
  <c r="H20" i="6"/>
  <c r="I20" i="6"/>
  <c r="J20" i="6"/>
  <c r="K20" i="6"/>
  <c r="L20" i="6"/>
  <c r="M20" i="6"/>
  <c r="N20" i="6"/>
  <c r="O20" i="6"/>
  <c r="P20" i="6"/>
  <c r="Q20" i="6"/>
  <c r="R20" i="6"/>
  <c r="S20" i="6"/>
  <c r="T20" i="6"/>
  <c r="U20" i="6"/>
  <c r="V20" i="6"/>
  <c r="W20" i="6"/>
  <c r="X20" i="6"/>
  <c r="Y20" i="6"/>
  <c r="G22" i="6"/>
  <c r="H22" i="6"/>
  <c r="I22" i="6"/>
  <c r="J22" i="6"/>
  <c r="K22" i="6"/>
  <c r="L22" i="6"/>
  <c r="M22" i="6"/>
  <c r="N22" i="6"/>
  <c r="O22" i="6"/>
  <c r="P22" i="6"/>
  <c r="Q22" i="6"/>
  <c r="R22" i="6"/>
  <c r="S22" i="6"/>
  <c r="T22" i="6"/>
  <c r="U22" i="6"/>
  <c r="V22" i="6"/>
  <c r="W22" i="6"/>
  <c r="X22" i="6"/>
  <c r="Y22" i="6"/>
  <c r="G24" i="6"/>
  <c r="H24" i="6"/>
  <c r="I24" i="6"/>
  <c r="J24" i="6"/>
  <c r="K24" i="6"/>
  <c r="L24" i="6"/>
  <c r="M24" i="6"/>
  <c r="N24" i="6"/>
  <c r="O24" i="6"/>
  <c r="P24" i="6"/>
  <c r="Q24" i="6"/>
  <c r="R24" i="6"/>
  <c r="S24" i="6"/>
  <c r="T24" i="6"/>
  <c r="U24" i="6"/>
  <c r="V24" i="6"/>
  <c r="W24" i="6"/>
  <c r="X24" i="6"/>
  <c r="Y24" i="6"/>
  <c r="F21" i="6"/>
  <c r="Q15" i="21" l="1"/>
  <c r="Q39" i="21"/>
  <c r="R36" i="21" s="1"/>
  <c r="Q15" i="20"/>
  <c r="Q39" i="20"/>
  <c r="R36" i="20" s="1"/>
  <c r="Q26" i="22"/>
  <c r="Q39" i="22"/>
  <c r="R36" i="22" s="1"/>
  <c r="F36" i="6"/>
  <c r="F14" i="22" l="1"/>
  <c r="F25" i="22" s="1"/>
  <c r="F13" i="22"/>
  <c r="F24" i="22" s="1"/>
  <c r="F11" i="22"/>
  <c r="F22" i="22" s="1"/>
  <c r="AB22" i="22" s="1"/>
  <c r="F12" i="22"/>
  <c r="F8" i="22"/>
  <c r="Q106" i="22"/>
  <c r="Q33" i="22"/>
  <c r="Q111" i="22"/>
  <c r="Q57" i="22"/>
  <c r="Q90" i="22" s="1"/>
  <c r="Q27" i="22"/>
  <c r="R23" i="20"/>
  <c r="R12" i="20"/>
  <c r="R14" i="20"/>
  <c r="R25" i="20" s="1"/>
  <c r="R37" i="20"/>
  <c r="R15" i="20" s="1"/>
  <c r="R8" i="20"/>
  <c r="R38" i="20"/>
  <c r="R25" i="22"/>
  <c r="R116" i="22" s="1"/>
  <c r="R23" i="22"/>
  <c r="R19" i="22"/>
  <c r="R38" i="22"/>
  <c r="R37" i="22"/>
  <c r="R26" i="22" s="1"/>
  <c r="Q106" i="20"/>
  <c r="Q26" i="20"/>
  <c r="Q30" i="20"/>
  <c r="Q57" i="20"/>
  <c r="Q90" i="20" s="1"/>
  <c r="Q16" i="20"/>
  <c r="R37" i="21"/>
  <c r="R15" i="21" s="1"/>
  <c r="R8" i="21"/>
  <c r="R23" i="21"/>
  <c r="R14" i="21"/>
  <c r="R25" i="21" s="1"/>
  <c r="R12" i="21"/>
  <c r="R38" i="21"/>
  <c r="R39" i="21" s="1"/>
  <c r="S36" i="21" s="1"/>
  <c r="Q106" i="21"/>
  <c r="Q30" i="21"/>
  <c r="Q26" i="21"/>
  <c r="Q57" i="21"/>
  <c r="Q90" i="21" s="1"/>
  <c r="Q16" i="21"/>
  <c r="F8" i="6"/>
  <c r="F14" i="6"/>
  <c r="F38" i="6"/>
  <c r="F37" i="6"/>
  <c r="F12" i="6"/>
  <c r="F11" i="6"/>
  <c r="F13" i="6"/>
  <c r="S8" i="21" l="1"/>
  <c r="S23" i="21"/>
  <c r="S14" i="21"/>
  <c r="S25" i="21" s="1"/>
  <c r="S116" i="21" s="1"/>
  <c r="S12" i="21"/>
  <c r="S37" i="21"/>
  <c r="S15" i="21" s="1"/>
  <c r="S38" i="21"/>
  <c r="S39" i="21" s="1"/>
  <c r="T36" i="21" s="1"/>
  <c r="R30" i="20"/>
  <c r="R26" i="20"/>
  <c r="R111" i="20" s="1"/>
  <c r="R106" i="20"/>
  <c r="R106" i="22"/>
  <c r="R33" i="22"/>
  <c r="R71" i="22" s="1"/>
  <c r="R111" i="22"/>
  <c r="R21" i="22"/>
  <c r="R56" i="22"/>
  <c r="R89" i="22" s="1"/>
  <c r="R116" i="20"/>
  <c r="F19" i="22"/>
  <c r="F56" i="22"/>
  <c r="F89" i="22" s="1"/>
  <c r="F9" i="22"/>
  <c r="F16" i="22"/>
  <c r="R116" i="21"/>
  <c r="Q71" i="20"/>
  <c r="Q33" i="20"/>
  <c r="F23" i="22"/>
  <c r="F107" i="22"/>
  <c r="Q111" i="20"/>
  <c r="Q27" i="20"/>
  <c r="R56" i="20"/>
  <c r="R89" i="20" s="1"/>
  <c r="R10" i="20"/>
  <c r="R19" i="20"/>
  <c r="R16" i="20"/>
  <c r="Q111" i="21"/>
  <c r="Q27" i="21"/>
  <c r="F15" i="6"/>
  <c r="F15" i="22"/>
  <c r="Q33" i="21"/>
  <c r="Q71" i="21"/>
  <c r="F116" i="22"/>
  <c r="AB24" i="22"/>
  <c r="Q71" i="22"/>
  <c r="R19" i="21"/>
  <c r="R10" i="21"/>
  <c r="R56" i="21"/>
  <c r="R89" i="21" s="1"/>
  <c r="R16" i="21"/>
  <c r="R30" i="21"/>
  <c r="R26" i="21"/>
  <c r="R111" i="21" s="1"/>
  <c r="R106" i="21"/>
  <c r="R39" i="22"/>
  <c r="S36" i="22" s="1"/>
  <c r="R39" i="20"/>
  <c r="S36" i="20" s="1"/>
  <c r="F56" i="6"/>
  <c r="F89" i="6" s="1"/>
  <c r="F9" i="6"/>
  <c r="F30" i="6"/>
  <c r="F71" i="6" s="1"/>
  <c r="F105" i="6" s="1"/>
  <c r="F25" i="6"/>
  <c r="F107" i="6"/>
  <c r="F19" i="6"/>
  <c r="F39" i="6"/>
  <c r="G36" i="6" s="1"/>
  <c r="F24" i="6"/>
  <c r="F116" i="6" s="1"/>
  <c r="F22" i="6"/>
  <c r="F23" i="6"/>
  <c r="E5" i="8"/>
  <c r="F5" i="8" s="1"/>
  <c r="G5" i="8" s="1"/>
  <c r="H5" i="8" s="1"/>
  <c r="I5" i="8" s="1"/>
  <c r="J5" i="8" s="1"/>
  <c r="K5" i="8" s="1"/>
  <c r="L5" i="8" s="1"/>
  <c r="M5" i="8" s="1"/>
  <c r="N5" i="8" s="1"/>
  <c r="O5" i="8" s="1"/>
  <c r="P5" i="8" s="1"/>
  <c r="Q5" i="8" s="1"/>
  <c r="R5" i="8" s="1"/>
  <c r="S5" i="8" s="1"/>
  <c r="T5" i="8" s="1"/>
  <c r="U5" i="8" s="1"/>
  <c r="V5" i="8" s="1"/>
  <c r="W5" i="8" s="1"/>
  <c r="G5" i="6"/>
  <c r="H5" i="6" s="1"/>
  <c r="I5" i="6" s="1"/>
  <c r="J5" i="6" s="1"/>
  <c r="K5" i="6" s="1"/>
  <c r="L5" i="6" s="1"/>
  <c r="M5" i="6" s="1"/>
  <c r="N5" i="6" s="1"/>
  <c r="O5" i="6" s="1"/>
  <c r="P5" i="6" s="1"/>
  <c r="Q5" i="6" s="1"/>
  <c r="R5" i="6" s="1"/>
  <c r="S5" i="6" s="1"/>
  <c r="T5" i="6" s="1"/>
  <c r="U5" i="6" s="1"/>
  <c r="V5" i="6" s="1"/>
  <c r="W5" i="6" s="1"/>
  <c r="X5" i="6" s="1"/>
  <c r="Y5" i="6" s="1"/>
  <c r="F57" i="22" l="1"/>
  <c r="F90" i="22" s="1"/>
  <c r="F20" i="22"/>
  <c r="AB20" i="22" s="1"/>
  <c r="F98" i="22"/>
  <c r="E46" i="22"/>
  <c r="R107" i="22"/>
  <c r="R57" i="22"/>
  <c r="R90" i="22" s="1"/>
  <c r="R112" i="22"/>
  <c r="T38" i="21"/>
  <c r="T12" i="21"/>
  <c r="T14" i="21"/>
  <c r="T25" i="21" s="1"/>
  <c r="T8" i="21"/>
  <c r="T23" i="21"/>
  <c r="T37" i="21"/>
  <c r="T15" i="21" s="1"/>
  <c r="Q105" i="20"/>
  <c r="R105" i="22"/>
  <c r="S106" i="21"/>
  <c r="S26" i="21"/>
  <c r="S30" i="21"/>
  <c r="R33" i="21"/>
  <c r="R71" i="21"/>
  <c r="F98" i="6"/>
  <c r="E46" i="6"/>
  <c r="F57" i="6"/>
  <c r="F90" i="6" s="1"/>
  <c r="G14" i="6"/>
  <c r="G14" i="22"/>
  <c r="G25" i="22" s="1"/>
  <c r="G8" i="22"/>
  <c r="G12" i="22"/>
  <c r="R107" i="21"/>
  <c r="R21" i="21"/>
  <c r="R27" i="21" s="1"/>
  <c r="Q105" i="21"/>
  <c r="R57" i="21"/>
  <c r="R90" i="21" s="1"/>
  <c r="S23" i="20"/>
  <c r="S12" i="20"/>
  <c r="S38" i="20"/>
  <c r="S37" i="20"/>
  <c r="S15" i="20" s="1"/>
  <c r="S8" i="20"/>
  <c r="S14" i="20"/>
  <c r="S25" i="20" s="1"/>
  <c r="S23" i="22"/>
  <c r="S19" i="22"/>
  <c r="S25" i="22"/>
  <c r="S116" i="22" s="1"/>
  <c r="S38" i="22"/>
  <c r="S37" i="22"/>
  <c r="S26" i="22" s="1"/>
  <c r="R27" i="20"/>
  <c r="F106" i="22"/>
  <c r="F26" i="22"/>
  <c r="F27" i="22" s="1"/>
  <c r="F30" i="22"/>
  <c r="R107" i="20"/>
  <c r="R57" i="20"/>
  <c r="R90" i="20" s="1"/>
  <c r="R21" i="20"/>
  <c r="Q105" i="22"/>
  <c r="F112" i="22"/>
  <c r="R27" i="22"/>
  <c r="R71" i="20"/>
  <c r="R33" i="20"/>
  <c r="S19" i="21"/>
  <c r="S10" i="21"/>
  <c r="S56" i="21"/>
  <c r="S89" i="21" s="1"/>
  <c r="F99" i="6"/>
  <c r="F20" i="6"/>
  <c r="AB20" i="6" s="1"/>
  <c r="G8" i="6"/>
  <c r="G19" i="6" s="1"/>
  <c r="F112" i="6"/>
  <c r="F106" i="6"/>
  <c r="G37" i="6"/>
  <c r="G38" i="6"/>
  <c r="F33" i="6"/>
  <c r="F26" i="6"/>
  <c r="F111" i="6" s="1"/>
  <c r="F16" i="6"/>
  <c r="G12" i="6"/>
  <c r="T30" i="21" l="1"/>
  <c r="T26" i="21"/>
  <c r="T111" i="21" s="1"/>
  <c r="T106" i="21"/>
  <c r="S107" i="21"/>
  <c r="S21" i="21"/>
  <c r="S112" i="21" s="1"/>
  <c r="R112" i="20"/>
  <c r="G23" i="22"/>
  <c r="T10" i="21"/>
  <c r="T19" i="21"/>
  <c r="T56" i="21"/>
  <c r="T89" i="21" s="1"/>
  <c r="G15" i="6"/>
  <c r="G30" i="6" s="1"/>
  <c r="G15" i="22"/>
  <c r="S16" i="21"/>
  <c r="F71" i="22"/>
  <c r="F33" i="22"/>
  <c r="S39" i="22"/>
  <c r="T36" i="22" s="1"/>
  <c r="T116" i="21"/>
  <c r="S106" i="22"/>
  <c r="S33" i="22"/>
  <c r="S111" i="22"/>
  <c r="S39" i="20"/>
  <c r="T36" i="20" s="1"/>
  <c r="G56" i="22"/>
  <c r="G89" i="22" s="1"/>
  <c r="G10" i="22"/>
  <c r="G19" i="22"/>
  <c r="G16" i="22"/>
  <c r="F99" i="22"/>
  <c r="S57" i="21"/>
  <c r="S90" i="21" s="1"/>
  <c r="F111" i="22"/>
  <c r="S116" i="20"/>
  <c r="G116" i="22"/>
  <c r="S71" i="21"/>
  <c r="S33" i="21"/>
  <c r="R105" i="21"/>
  <c r="S27" i="21"/>
  <c r="R105" i="20"/>
  <c r="S56" i="20"/>
  <c r="S89" i="20" s="1"/>
  <c r="S10" i="20"/>
  <c r="S19" i="20"/>
  <c r="S16" i="20"/>
  <c r="S111" i="21"/>
  <c r="T39" i="21"/>
  <c r="U36" i="21" s="1"/>
  <c r="S56" i="22"/>
  <c r="S89" i="22" s="1"/>
  <c r="S21" i="22"/>
  <c r="S27" i="22"/>
  <c r="S30" i="20"/>
  <c r="S26" i="20"/>
  <c r="S106" i="20"/>
  <c r="R112" i="21"/>
  <c r="G10" i="6"/>
  <c r="G57" i="6"/>
  <c r="G90" i="6" s="1"/>
  <c r="G56" i="6"/>
  <c r="G89" i="6" s="1"/>
  <c r="G16" i="6"/>
  <c r="G39" i="6"/>
  <c r="H36" i="6" s="1"/>
  <c r="G25" i="6"/>
  <c r="G71" i="6"/>
  <c r="G105" i="6" s="1"/>
  <c r="G107" i="6"/>
  <c r="F27" i="6"/>
  <c r="G21" i="6"/>
  <c r="G23" i="6"/>
  <c r="G106" i="6"/>
  <c r="S71" i="20" l="1"/>
  <c r="S33" i="20"/>
  <c r="T16" i="21"/>
  <c r="T107" i="21"/>
  <c r="T21" i="21"/>
  <c r="T112" i="21" s="1"/>
  <c r="S71" i="22"/>
  <c r="F105" i="22"/>
  <c r="S111" i="20"/>
  <c r="S57" i="22"/>
  <c r="S90" i="22" s="1"/>
  <c r="S107" i="22"/>
  <c r="S112" i="22"/>
  <c r="S21" i="20"/>
  <c r="S107" i="20"/>
  <c r="S57" i="20"/>
  <c r="S90" i="20" s="1"/>
  <c r="G30" i="22"/>
  <c r="G26" i="22"/>
  <c r="G106" i="22"/>
  <c r="T57" i="21"/>
  <c r="T90" i="21" s="1"/>
  <c r="T33" i="21"/>
  <c r="T71" i="21"/>
  <c r="U8" i="21"/>
  <c r="U38" i="21"/>
  <c r="U37" i="21"/>
  <c r="U15" i="21" s="1"/>
  <c r="U14" i="21"/>
  <c r="U25" i="21" s="1"/>
  <c r="U23" i="21"/>
  <c r="U12" i="21"/>
  <c r="U39" i="21"/>
  <c r="V36" i="21" s="1"/>
  <c r="S105" i="21"/>
  <c r="T23" i="20"/>
  <c r="T12" i="20"/>
  <c r="T38" i="20"/>
  <c r="T37" i="20"/>
  <c r="T15" i="20" s="1"/>
  <c r="T8" i="20"/>
  <c r="T14" i="20"/>
  <c r="T25" i="20" s="1"/>
  <c r="G107" i="22"/>
  <c r="G57" i="22"/>
  <c r="G90" i="22" s="1"/>
  <c r="G21" i="22"/>
  <c r="H14" i="22"/>
  <c r="H25" i="22" s="1"/>
  <c r="H12" i="22"/>
  <c r="H8" i="22"/>
  <c r="T23" i="22"/>
  <c r="T19" i="22"/>
  <c r="T25" i="22"/>
  <c r="T116" i="22" s="1"/>
  <c r="T38" i="22"/>
  <c r="T37" i="22"/>
  <c r="T26" i="22" s="1"/>
  <c r="H37" i="6"/>
  <c r="H38" i="6"/>
  <c r="H14" i="6"/>
  <c r="H8" i="6"/>
  <c r="G112" i="6"/>
  <c r="G116" i="6"/>
  <c r="H25" i="6"/>
  <c r="H116" i="6" s="1"/>
  <c r="G33" i="6"/>
  <c r="G26" i="6"/>
  <c r="G111" i="6" s="1"/>
  <c r="H12" i="6"/>
  <c r="V14" i="21" l="1"/>
  <c r="V25" i="21" s="1"/>
  <c r="V116" i="21" s="1"/>
  <c r="V8" i="21"/>
  <c r="V37" i="21"/>
  <c r="V15" i="21" s="1"/>
  <c r="V12" i="21"/>
  <c r="V38" i="21"/>
  <c r="V39" i="21" s="1"/>
  <c r="W36" i="21" s="1"/>
  <c r="V23" i="21"/>
  <c r="T105" i="21"/>
  <c r="T106" i="20"/>
  <c r="T30" i="20"/>
  <c r="T26" i="20"/>
  <c r="T106" i="22"/>
  <c r="T33" i="22"/>
  <c r="T111" i="22"/>
  <c r="H23" i="22"/>
  <c r="S112" i="20"/>
  <c r="H116" i="22"/>
  <c r="U116" i="21"/>
  <c r="T27" i="21"/>
  <c r="T39" i="20"/>
  <c r="U36" i="20" s="1"/>
  <c r="U106" i="21"/>
  <c r="U26" i="21"/>
  <c r="U30" i="21"/>
  <c r="S105" i="20"/>
  <c r="T39" i="22"/>
  <c r="U36" i="22" s="1"/>
  <c r="H39" i="6"/>
  <c r="I36" i="6" s="1"/>
  <c r="T21" i="22"/>
  <c r="T56" i="22"/>
  <c r="T89" i="22" s="1"/>
  <c r="T27" i="22"/>
  <c r="T116" i="20"/>
  <c r="G111" i="22"/>
  <c r="S27" i="20"/>
  <c r="H10" i="22"/>
  <c r="H19" i="22"/>
  <c r="H56" i="22"/>
  <c r="H89" i="22" s="1"/>
  <c r="H15" i="6"/>
  <c r="H30" i="6" s="1"/>
  <c r="H71" i="6" s="1"/>
  <c r="H105" i="6" s="1"/>
  <c r="H15" i="22"/>
  <c r="G27" i="22"/>
  <c r="G112" i="22"/>
  <c r="T10" i="20"/>
  <c r="T19" i="20"/>
  <c r="T56" i="20"/>
  <c r="T89" i="20" s="1"/>
  <c r="U16" i="21"/>
  <c r="U10" i="21"/>
  <c r="U57" i="21" s="1"/>
  <c r="U90" i="21" s="1"/>
  <c r="U56" i="21"/>
  <c r="U89" i="21" s="1"/>
  <c r="U19" i="21"/>
  <c r="G71" i="22"/>
  <c r="G33" i="22"/>
  <c r="S105" i="22"/>
  <c r="I37" i="6"/>
  <c r="I38" i="6"/>
  <c r="I14" i="6"/>
  <c r="H56" i="6"/>
  <c r="H89" i="6" s="1"/>
  <c r="H10" i="6"/>
  <c r="H107" i="6" s="1"/>
  <c r="H19" i="6"/>
  <c r="I25" i="6"/>
  <c r="I116" i="6" s="1"/>
  <c r="H23" i="6"/>
  <c r="G27" i="6"/>
  <c r="W8" i="21" l="1"/>
  <c r="W14" i="21"/>
  <c r="W25" i="21" s="1"/>
  <c r="W12" i="21"/>
  <c r="W37" i="21"/>
  <c r="W15" i="21" s="1"/>
  <c r="W23" i="21"/>
  <c r="W38" i="21"/>
  <c r="W39" i="21"/>
  <c r="X36" i="21" s="1"/>
  <c r="T107" i="22"/>
  <c r="T57" i="22"/>
  <c r="T90" i="22" s="1"/>
  <c r="T112" i="22"/>
  <c r="U111" i="21"/>
  <c r="T71" i="20"/>
  <c r="T33" i="20"/>
  <c r="H107" i="22"/>
  <c r="H21" i="22"/>
  <c r="H57" i="22"/>
  <c r="H90" i="22" s="1"/>
  <c r="H106" i="22"/>
  <c r="H30" i="22"/>
  <c r="H26" i="22"/>
  <c r="I8" i="6"/>
  <c r="I12" i="22"/>
  <c r="I14" i="22"/>
  <c r="I25" i="22" s="1"/>
  <c r="I8" i="22"/>
  <c r="T111" i="20"/>
  <c r="G105" i="22"/>
  <c r="U19" i="22"/>
  <c r="U25" i="22"/>
  <c r="U116" i="22" s="1"/>
  <c r="U23" i="22"/>
  <c r="U38" i="22"/>
  <c r="U37" i="22"/>
  <c r="U26" i="22" s="1"/>
  <c r="U39" i="22"/>
  <c r="V36" i="22" s="1"/>
  <c r="U23" i="20"/>
  <c r="U37" i="20"/>
  <c r="U15" i="20" s="1"/>
  <c r="U38" i="20"/>
  <c r="U12" i="20"/>
  <c r="U8" i="20"/>
  <c r="U14" i="20"/>
  <c r="U25" i="20" s="1"/>
  <c r="T71" i="22"/>
  <c r="V30" i="21"/>
  <c r="V106" i="21"/>
  <c r="V26" i="21"/>
  <c r="V111" i="21" s="1"/>
  <c r="U71" i="21"/>
  <c r="U33" i="21"/>
  <c r="V56" i="21"/>
  <c r="V89" i="21" s="1"/>
  <c r="V19" i="21"/>
  <c r="V10" i="21"/>
  <c r="I15" i="6"/>
  <c r="I30" i="6" s="1"/>
  <c r="I71" i="6" s="1"/>
  <c r="I105" i="6" s="1"/>
  <c r="I15" i="22"/>
  <c r="T107" i="20"/>
  <c r="T57" i="20"/>
  <c r="T90" i="20" s="1"/>
  <c r="T21" i="20"/>
  <c r="T16" i="20"/>
  <c r="H27" i="22"/>
  <c r="U107" i="21"/>
  <c r="U21" i="21"/>
  <c r="H16" i="22"/>
  <c r="H21" i="6"/>
  <c r="H112" i="6" s="1"/>
  <c r="I39" i="6"/>
  <c r="J36" i="6" s="1"/>
  <c r="H57" i="6"/>
  <c r="H90" i="6" s="1"/>
  <c r="H33" i="6"/>
  <c r="H106" i="6"/>
  <c r="H26" i="6"/>
  <c r="H111" i="6" s="1"/>
  <c r="H16" i="6"/>
  <c r="I12" i="6"/>
  <c r="U21" i="22" l="1"/>
  <c r="U56" i="22"/>
  <c r="U89" i="22" s="1"/>
  <c r="U27" i="22"/>
  <c r="I116" i="22"/>
  <c r="X23" i="21"/>
  <c r="X8" i="21"/>
  <c r="X37" i="21"/>
  <c r="X15" i="21" s="1"/>
  <c r="X38" i="21"/>
  <c r="X14" i="21"/>
  <c r="X25" i="21" s="1"/>
  <c r="X116" i="21" s="1"/>
  <c r="X12" i="21"/>
  <c r="X39" i="21"/>
  <c r="Y36" i="21" s="1"/>
  <c r="T112" i="20"/>
  <c r="V107" i="21"/>
  <c r="V21" i="21"/>
  <c r="V112" i="21" s="1"/>
  <c r="U105" i="21"/>
  <c r="I23" i="22"/>
  <c r="H112" i="22"/>
  <c r="U116" i="20"/>
  <c r="V19" i="22"/>
  <c r="V25" i="22"/>
  <c r="V116" i="22" s="1"/>
  <c r="V23" i="22"/>
  <c r="V38" i="22"/>
  <c r="V37" i="22"/>
  <c r="V26" i="22" s="1"/>
  <c r="I56" i="6"/>
  <c r="I89" i="6" s="1"/>
  <c r="I19" i="6"/>
  <c r="I10" i="6"/>
  <c r="I21" i="6" s="1"/>
  <c r="I30" i="22"/>
  <c r="I106" i="22"/>
  <c r="I26" i="22"/>
  <c r="I111" i="22" s="1"/>
  <c r="I10" i="22"/>
  <c r="I16" i="22" s="1"/>
  <c r="I56" i="22"/>
  <c r="I89" i="22" s="1"/>
  <c r="I19" i="22"/>
  <c r="V27" i="21"/>
  <c r="U19" i="20"/>
  <c r="U16" i="20"/>
  <c r="U56" i="20"/>
  <c r="U89" i="20" s="1"/>
  <c r="U10" i="20"/>
  <c r="U106" i="22"/>
  <c r="U33" i="22"/>
  <c r="U71" i="22" s="1"/>
  <c r="U111" i="22"/>
  <c r="W26" i="21"/>
  <c r="W106" i="21"/>
  <c r="W30" i="21"/>
  <c r="U30" i="20"/>
  <c r="U26" i="20"/>
  <c r="U106" i="20"/>
  <c r="U112" i="21"/>
  <c r="V57" i="21"/>
  <c r="V90" i="21" s="1"/>
  <c r="V16" i="21"/>
  <c r="V71" i="21"/>
  <c r="V33" i="21"/>
  <c r="H111" i="22"/>
  <c r="J12" i="22"/>
  <c r="J23" i="22" s="1"/>
  <c r="J14" i="22"/>
  <c r="J25" i="22" s="1"/>
  <c r="J116" i="22" s="1"/>
  <c r="J8" i="22"/>
  <c r="U39" i="20"/>
  <c r="V36" i="20" s="1"/>
  <c r="H71" i="22"/>
  <c r="H33" i="22"/>
  <c r="T105" i="20"/>
  <c r="W116" i="21"/>
  <c r="U27" i="21"/>
  <c r="T27" i="20"/>
  <c r="T105" i="22"/>
  <c r="W56" i="21"/>
  <c r="W89" i="21" s="1"/>
  <c r="W19" i="21"/>
  <c r="W10" i="21"/>
  <c r="W16" i="21"/>
  <c r="J8" i="6"/>
  <c r="J56" i="6" s="1"/>
  <c r="J89" i="6" s="1"/>
  <c r="J19" i="6"/>
  <c r="J14" i="6"/>
  <c r="J25" i="6" s="1"/>
  <c r="J38" i="6"/>
  <c r="J37" i="6"/>
  <c r="I107" i="6"/>
  <c r="I106" i="6"/>
  <c r="J10" i="6"/>
  <c r="H27" i="6"/>
  <c r="I26" i="6"/>
  <c r="I111" i="6" s="1"/>
  <c r="I23" i="6"/>
  <c r="I16" i="6"/>
  <c r="W71" i="21" l="1"/>
  <c r="W33" i="21"/>
  <c r="U57" i="20"/>
  <c r="U90" i="20" s="1"/>
  <c r="U21" i="20"/>
  <c r="U107" i="20"/>
  <c r="V21" i="22"/>
  <c r="V56" i="22"/>
  <c r="V89" i="22" s="1"/>
  <c r="Y8" i="21"/>
  <c r="Y12" i="21"/>
  <c r="E44" i="21" s="1"/>
  <c r="Y37" i="21"/>
  <c r="Y15" i="21" s="1"/>
  <c r="Y38" i="21"/>
  <c r="Y39" i="21" s="1"/>
  <c r="Y23" i="21"/>
  <c r="Y14" i="21"/>
  <c r="Y25" i="21" s="1"/>
  <c r="F100" i="21"/>
  <c r="W111" i="21"/>
  <c r="I21" i="22"/>
  <c r="I107" i="22"/>
  <c r="I57" i="22"/>
  <c r="I90" i="22" s="1"/>
  <c r="H105" i="22"/>
  <c r="J10" i="22"/>
  <c r="J19" i="22"/>
  <c r="J56" i="22"/>
  <c r="J89" i="22" s="1"/>
  <c r="J15" i="6"/>
  <c r="J30" i="6" s="1"/>
  <c r="J71" i="6" s="1"/>
  <c r="J105" i="6" s="1"/>
  <c r="J15" i="22"/>
  <c r="W107" i="21"/>
  <c r="W21" i="21"/>
  <c r="U111" i="20"/>
  <c r="U27" i="20"/>
  <c r="V39" i="22"/>
  <c r="W36" i="22" s="1"/>
  <c r="W27" i="21"/>
  <c r="V23" i="20"/>
  <c r="V14" i="20"/>
  <c r="V25" i="20" s="1"/>
  <c r="V37" i="20"/>
  <c r="V15" i="20" s="1"/>
  <c r="V8" i="20"/>
  <c r="V12" i="20"/>
  <c r="V38" i="20"/>
  <c r="V105" i="21"/>
  <c r="U71" i="20"/>
  <c r="U33" i="20"/>
  <c r="I71" i="22"/>
  <c r="I105" i="22" s="1"/>
  <c r="I33" i="22"/>
  <c r="V106" i="22"/>
  <c r="V33" i="22"/>
  <c r="V71" i="22" s="1"/>
  <c r="V111" i="22"/>
  <c r="X30" i="21"/>
  <c r="X106" i="21"/>
  <c r="X26" i="21"/>
  <c r="X111" i="21" s="1"/>
  <c r="I57" i="6"/>
  <c r="I90" i="6" s="1"/>
  <c r="U105" i="22"/>
  <c r="W57" i="21"/>
  <c r="W90" i="21" s="1"/>
  <c r="X19" i="21"/>
  <c r="X56" i="21"/>
  <c r="X89" i="21" s="1"/>
  <c r="X10" i="21"/>
  <c r="X57" i="21" s="1"/>
  <c r="X90" i="21" s="1"/>
  <c r="U107" i="22"/>
  <c r="U57" i="22"/>
  <c r="U90" i="22" s="1"/>
  <c r="U112" i="22"/>
  <c r="J39" i="6"/>
  <c r="K36" i="6" s="1"/>
  <c r="I112" i="6"/>
  <c r="J116" i="6"/>
  <c r="K38" i="6"/>
  <c r="J21" i="6"/>
  <c r="I27" i="6"/>
  <c r="I33" i="6"/>
  <c r="J12" i="6"/>
  <c r="J57" i="6" s="1"/>
  <c r="J90" i="6" s="1"/>
  <c r="F101" i="21" l="1"/>
  <c r="G97" i="21" s="1"/>
  <c r="F108" i="21"/>
  <c r="F113" i="21"/>
  <c r="W38" i="22"/>
  <c r="W25" i="22"/>
  <c r="W116" i="22" s="1"/>
  <c r="W23" i="22"/>
  <c r="W19" i="22"/>
  <c r="W37" i="22"/>
  <c r="W26" i="22" s="1"/>
  <c r="J106" i="22"/>
  <c r="J26" i="22"/>
  <c r="J30" i="22"/>
  <c r="Y116" i="21"/>
  <c r="AB25" i="21"/>
  <c r="AB116" i="21"/>
  <c r="V107" i="22"/>
  <c r="V57" i="22"/>
  <c r="V90" i="22" s="1"/>
  <c r="V112" i="22"/>
  <c r="X107" i="21"/>
  <c r="X21" i="21"/>
  <c r="X112" i="21" s="1"/>
  <c r="AB23" i="21"/>
  <c r="J55" i="21"/>
  <c r="V56" i="20"/>
  <c r="V89" i="20" s="1"/>
  <c r="V19" i="20"/>
  <c r="V10" i="20"/>
  <c r="V16" i="20"/>
  <c r="K8" i="22"/>
  <c r="K14" i="22"/>
  <c r="K25" i="22" s="1"/>
  <c r="K116" i="22" s="1"/>
  <c r="K12" i="22"/>
  <c r="X33" i="21"/>
  <c r="X71" i="21"/>
  <c r="V106" i="20"/>
  <c r="V30" i="20"/>
  <c r="V26" i="20"/>
  <c r="Y106" i="21"/>
  <c r="AB106" i="21" s="1"/>
  <c r="Y30" i="21"/>
  <c r="Y26" i="21"/>
  <c r="Y111" i="21" s="1"/>
  <c r="E45" i="21"/>
  <c r="U112" i="20"/>
  <c r="U105" i="20"/>
  <c r="V39" i="20"/>
  <c r="W36" i="20" s="1"/>
  <c r="J16" i="22"/>
  <c r="J57" i="22"/>
  <c r="J90" i="22" s="1"/>
  <c r="J107" i="22"/>
  <c r="J21" i="22"/>
  <c r="J112" i="22" s="1"/>
  <c r="I27" i="22"/>
  <c r="I112" i="22"/>
  <c r="X16" i="21"/>
  <c r="V105" i="22"/>
  <c r="V116" i="20"/>
  <c r="AB26" i="21"/>
  <c r="Y10" i="21"/>
  <c r="E43" i="21" s="1"/>
  <c r="Y56" i="21"/>
  <c r="Y89" i="21" s="1"/>
  <c r="Y19" i="21"/>
  <c r="AB19" i="21" s="1"/>
  <c r="E42" i="21"/>
  <c r="W112" i="21"/>
  <c r="V27" i="22"/>
  <c r="W105" i="21"/>
  <c r="K8" i="6"/>
  <c r="K19" i="6" s="1"/>
  <c r="K14" i="6"/>
  <c r="K25" i="6" s="1"/>
  <c r="K37" i="6"/>
  <c r="J107" i="6"/>
  <c r="J23" i="6"/>
  <c r="J106" i="6"/>
  <c r="K12" i="6"/>
  <c r="W106" i="22" l="1"/>
  <c r="W33" i="22"/>
  <c r="W71" i="22" s="1"/>
  <c r="W111" i="22"/>
  <c r="AB111" i="21"/>
  <c r="X105" i="21"/>
  <c r="W21" i="22"/>
  <c r="W56" i="22"/>
  <c r="W89" i="22" s="1"/>
  <c r="W27" i="22"/>
  <c r="V107" i="20"/>
  <c r="V57" i="20"/>
  <c r="V90" i="20" s="1"/>
  <c r="V21" i="20"/>
  <c r="J33" i="22"/>
  <c r="J71" i="22"/>
  <c r="J111" i="22"/>
  <c r="Y71" i="21"/>
  <c r="Y33" i="21"/>
  <c r="E47" i="21"/>
  <c r="F65" i="21" s="1"/>
  <c r="J27" i="22"/>
  <c r="K15" i="6"/>
  <c r="K15" i="22"/>
  <c r="K10" i="6"/>
  <c r="K23" i="22"/>
  <c r="X27" i="21"/>
  <c r="F114" i="21"/>
  <c r="W23" i="20"/>
  <c r="W14" i="20"/>
  <c r="W25" i="20" s="1"/>
  <c r="W116" i="20" s="1"/>
  <c r="W8" i="20"/>
  <c r="W12" i="20"/>
  <c r="W37" i="20"/>
  <c r="W15" i="20" s="1"/>
  <c r="W38" i="20"/>
  <c r="K56" i="6"/>
  <c r="K89" i="6" s="1"/>
  <c r="V111" i="20"/>
  <c r="J88" i="21"/>
  <c r="J77" i="21"/>
  <c r="Y107" i="21"/>
  <c r="AB107" i="21" s="1"/>
  <c r="Y21" i="21"/>
  <c r="F54" i="21"/>
  <c r="K57" i="6"/>
  <c r="K90" i="6" s="1"/>
  <c r="Y16" i="21"/>
  <c r="V71" i="20"/>
  <c r="V33" i="20"/>
  <c r="K10" i="22"/>
  <c r="K16" i="22" s="1"/>
  <c r="K56" i="22"/>
  <c r="K89" i="22" s="1"/>
  <c r="K19" i="22"/>
  <c r="Y57" i="21"/>
  <c r="Y90" i="21" s="1"/>
  <c r="W39" i="22"/>
  <c r="X36" i="22" s="1"/>
  <c r="G99" i="21"/>
  <c r="K21" i="6"/>
  <c r="K30" i="6"/>
  <c r="K71" i="6" s="1"/>
  <c r="K105" i="6" s="1"/>
  <c r="K39" i="6"/>
  <c r="L36" i="6" s="1"/>
  <c r="J112" i="6"/>
  <c r="K107" i="6"/>
  <c r="K116" i="6"/>
  <c r="J33" i="6"/>
  <c r="K23" i="6"/>
  <c r="J16" i="6"/>
  <c r="J26" i="6"/>
  <c r="J111" i="6" s="1"/>
  <c r="K106" i="6"/>
  <c r="G100" i="21" l="1"/>
  <c r="W106" i="20"/>
  <c r="W30" i="20"/>
  <c r="W26" i="20"/>
  <c r="W111" i="20" s="1"/>
  <c r="Y105" i="21"/>
  <c r="AB105" i="21" s="1"/>
  <c r="V105" i="20"/>
  <c r="V112" i="20"/>
  <c r="K30" i="22"/>
  <c r="K26" i="22"/>
  <c r="K106" i="22"/>
  <c r="W56" i="20"/>
  <c r="W89" i="20" s="1"/>
  <c r="W10" i="20"/>
  <c r="W19" i="20"/>
  <c r="W16" i="20"/>
  <c r="L38" i="6"/>
  <c r="L8" i="22"/>
  <c r="L12" i="22"/>
  <c r="L23" i="22" s="1"/>
  <c r="L14" i="22"/>
  <c r="L25" i="22" s="1"/>
  <c r="L116" i="22" s="1"/>
  <c r="F58" i="21"/>
  <c r="F61" i="21"/>
  <c r="V27" i="20"/>
  <c r="W105" i="22"/>
  <c r="X25" i="22"/>
  <c r="X116" i="22" s="1"/>
  <c r="X23" i="22"/>
  <c r="X19" i="22"/>
  <c r="X38" i="22"/>
  <c r="X37" i="22"/>
  <c r="X26" i="22" s="1"/>
  <c r="X39" i="22"/>
  <c r="Y36" i="22" s="1"/>
  <c r="Y27" i="21"/>
  <c r="Y112" i="21"/>
  <c r="AB21" i="21"/>
  <c r="AB27" i="21" s="1"/>
  <c r="K107" i="22"/>
  <c r="K21" i="22"/>
  <c r="K27" i="22" s="1"/>
  <c r="K57" i="22"/>
  <c r="K90" i="22" s="1"/>
  <c r="W39" i="20"/>
  <c r="X36" i="20" s="1"/>
  <c r="F69" i="21"/>
  <c r="F72" i="21" s="1"/>
  <c r="G64" i="21" s="1"/>
  <c r="G69" i="21" s="1"/>
  <c r="G72" i="21" s="1"/>
  <c r="H64" i="21" s="1"/>
  <c r="H69" i="21" s="1"/>
  <c r="H72" i="21" s="1"/>
  <c r="I64" i="21" s="1"/>
  <c r="J105" i="22"/>
  <c r="W107" i="22"/>
  <c r="W57" i="22"/>
  <c r="W90" i="22" s="1"/>
  <c r="W112" i="22"/>
  <c r="E48" i="21"/>
  <c r="L8" i="6"/>
  <c r="L14" i="6"/>
  <c r="L37" i="6"/>
  <c r="K112" i="6"/>
  <c r="J27" i="6"/>
  <c r="K16" i="6"/>
  <c r="K26" i="6"/>
  <c r="K111" i="6" s="1"/>
  <c r="L12" i="6"/>
  <c r="I69" i="21" l="1"/>
  <c r="I72" i="21" s="1"/>
  <c r="J64" i="21" s="1"/>
  <c r="J69" i="21" s="1"/>
  <c r="J72" i="21" s="1"/>
  <c r="K64" i="21" s="1"/>
  <c r="K69" i="21" s="1"/>
  <c r="K72" i="21" s="1"/>
  <c r="L64" i="21" s="1"/>
  <c r="L69" i="21" s="1"/>
  <c r="L72" i="21" s="1"/>
  <c r="M64" i="21" s="1"/>
  <c r="E49" i="21"/>
  <c r="F76" i="21" s="1"/>
  <c r="X23" i="20"/>
  <c r="X8" i="20"/>
  <c r="X37" i="20"/>
  <c r="X15" i="20" s="1"/>
  <c r="X14" i="20"/>
  <c r="X25" i="20" s="1"/>
  <c r="X116" i="20" s="1"/>
  <c r="X12" i="20"/>
  <c r="X38" i="20"/>
  <c r="Y25" i="22"/>
  <c r="Y23" i="22"/>
  <c r="Y19" i="22"/>
  <c r="Y37" i="22"/>
  <c r="Y26" i="22" s="1"/>
  <c r="Y38" i="22"/>
  <c r="Y39" i="22"/>
  <c r="L10" i="22"/>
  <c r="L56" i="22"/>
  <c r="L89" i="22" s="1"/>
  <c r="L19" i="22"/>
  <c r="K111" i="22"/>
  <c r="X106" i="22"/>
  <c r="X33" i="22"/>
  <c r="X71" i="22" s="1"/>
  <c r="X111" i="22"/>
  <c r="G53" i="21"/>
  <c r="K33" i="22"/>
  <c r="K71" i="22"/>
  <c r="W71" i="20"/>
  <c r="W33" i="20"/>
  <c r="K112" i="22"/>
  <c r="L15" i="6"/>
  <c r="L106" i="6" s="1"/>
  <c r="L15" i="22"/>
  <c r="L16" i="22" s="1"/>
  <c r="AB112" i="21"/>
  <c r="X21" i="22"/>
  <c r="X56" i="22"/>
  <c r="X89" i="22" s="1"/>
  <c r="X27" i="22"/>
  <c r="W27" i="20"/>
  <c r="G113" i="21"/>
  <c r="G108" i="21"/>
  <c r="W107" i="20"/>
  <c r="W21" i="20"/>
  <c r="W112" i="20" s="1"/>
  <c r="W57" i="20"/>
  <c r="W90" i="20" s="1"/>
  <c r="G101" i="21"/>
  <c r="H97" i="21" s="1"/>
  <c r="L39" i="6"/>
  <c r="M36" i="6" s="1"/>
  <c r="L30" i="6"/>
  <c r="L71" i="6" s="1"/>
  <c r="L105" i="6" s="1"/>
  <c r="L25" i="6"/>
  <c r="L116" i="6" s="1"/>
  <c r="L56" i="6"/>
  <c r="L89" i="6" s="1"/>
  <c r="L19" i="6"/>
  <c r="L10" i="6"/>
  <c r="L107" i="6" s="1"/>
  <c r="K33" i="6"/>
  <c r="L23" i="6"/>
  <c r="K27" i="6"/>
  <c r="M69" i="21" l="1"/>
  <c r="M72" i="21"/>
  <c r="N64" i="21" s="1"/>
  <c r="N69" i="21" s="1"/>
  <c r="N72" i="21" s="1"/>
  <c r="O64" i="21" s="1"/>
  <c r="O69" i="21" s="1"/>
  <c r="O72" i="21" s="1"/>
  <c r="P64" i="21" s="1"/>
  <c r="P69" i="21" s="1"/>
  <c r="P72" i="21" s="1"/>
  <c r="Q64" i="21" s="1"/>
  <c r="M14" i="6"/>
  <c r="M8" i="22"/>
  <c r="M14" i="22"/>
  <c r="M25" i="22" s="1"/>
  <c r="M116" i="22" s="1"/>
  <c r="M12" i="22"/>
  <c r="M23" i="22" s="1"/>
  <c r="G58" i="21"/>
  <c r="G61" i="21"/>
  <c r="Y116" i="22"/>
  <c r="AB116" i="22"/>
  <c r="X10" i="20"/>
  <c r="X19" i="20"/>
  <c r="X16" i="20"/>
  <c r="X56" i="20"/>
  <c r="X89" i="20" s="1"/>
  <c r="L107" i="22"/>
  <c r="L21" i="22"/>
  <c r="L57" i="22"/>
  <c r="L90" i="22" s="1"/>
  <c r="X106" i="20"/>
  <c r="X26" i="20"/>
  <c r="X111" i="20" s="1"/>
  <c r="X30" i="20"/>
  <c r="H99" i="21"/>
  <c r="H100" i="21" s="1"/>
  <c r="H101" i="21"/>
  <c r="I97" i="21" s="1"/>
  <c r="M8" i="6"/>
  <c r="X105" i="22"/>
  <c r="E50" i="21"/>
  <c r="X107" i="22"/>
  <c r="X57" i="22"/>
  <c r="X90" i="22" s="1"/>
  <c r="X112" i="22"/>
  <c r="W105" i="20"/>
  <c r="X39" i="20"/>
  <c r="Y36" i="20" s="1"/>
  <c r="F80" i="21"/>
  <c r="F91" i="21" s="1"/>
  <c r="F119" i="21" s="1"/>
  <c r="F87" i="21"/>
  <c r="F118" i="21" s="1"/>
  <c r="AB23" i="22"/>
  <c r="K105" i="22"/>
  <c r="Y106" i="22"/>
  <c r="Y33" i="22"/>
  <c r="Y111" i="22"/>
  <c r="G114" i="21"/>
  <c r="L106" i="22"/>
  <c r="L26" i="22"/>
  <c r="L111" i="22" s="1"/>
  <c r="L30" i="22"/>
  <c r="Y56" i="22"/>
  <c r="Y89" i="22" s="1"/>
  <c r="Y21" i="22"/>
  <c r="Y27" i="22" s="1"/>
  <c r="M37" i="6"/>
  <c r="M38" i="6"/>
  <c r="L21" i="6"/>
  <c r="L112" i="6" s="1"/>
  <c r="L57" i="6"/>
  <c r="L90" i="6" s="1"/>
  <c r="M25" i="6"/>
  <c r="M116" i="6" s="1"/>
  <c r="M56" i="6"/>
  <c r="M89" i="6" s="1"/>
  <c r="M19" i="6"/>
  <c r="M10" i="6"/>
  <c r="L16" i="6"/>
  <c r="L26" i="6"/>
  <c r="L111" i="6" s="1"/>
  <c r="M12" i="6"/>
  <c r="F120" i="21" l="1"/>
  <c r="F82" i="21"/>
  <c r="X107" i="20"/>
  <c r="X57" i="20"/>
  <c r="X90" i="20" s="1"/>
  <c r="X21" i="20"/>
  <c r="X112" i="20" s="1"/>
  <c r="X71" i="20"/>
  <c r="X33" i="20"/>
  <c r="Y71" i="22"/>
  <c r="Y23" i="20"/>
  <c r="AB23" i="20" s="1"/>
  <c r="Y39" i="20"/>
  <c r="Y14" i="20"/>
  <c r="Y25" i="20" s="1"/>
  <c r="Y8" i="20"/>
  <c r="Y12" i="20"/>
  <c r="E44" i="20" s="1"/>
  <c r="Y38" i="20"/>
  <c r="Y37" i="20"/>
  <c r="Y15" i="20" s="1"/>
  <c r="F100" i="20"/>
  <c r="AB25" i="22"/>
  <c r="M10" i="22"/>
  <c r="M16" i="22" s="1"/>
  <c r="M56" i="22"/>
  <c r="M89" i="22" s="1"/>
  <c r="M19" i="22"/>
  <c r="L71" i="22"/>
  <c r="L33" i="22"/>
  <c r="L27" i="22"/>
  <c r="L112" i="22"/>
  <c r="M15" i="6"/>
  <c r="M15" i="22"/>
  <c r="I99" i="21"/>
  <c r="I100" i="21"/>
  <c r="H53" i="21"/>
  <c r="Q69" i="21"/>
  <c r="Q72" i="21" s="1"/>
  <c r="R64" i="21" s="1"/>
  <c r="R69" i="21" s="1"/>
  <c r="R72" i="21" s="1"/>
  <c r="S64" i="21" s="1"/>
  <c r="S69" i="21" s="1"/>
  <c r="S72" i="21" s="1"/>
  <c r="T64" i="21" s="1"/>
  <c r="T69" i="21" s="1"/>
  <c r="T72" i="21" s="1"/>
  <c r="U64" i="21" s="1"/>
  <c r="U69" i="21" s="1"/>
  <c r="U72" i="21" s="1"/>
  <c r="V64" i="21" s="1"/>
  <c r="V69" i="21" s="1"/>
  <c r="V72" i="21" s="1"/>
  <c r="W64" i="21" s="1"/>
  <c r="W69" i="21" s="1"/>
  <c r="W72" i="21" s="1"/>
  <c r="X64" i="21" s="1"/>
  <c r="X69" i="21" s="1"/>
  <c r="X72" i="21" s="1"/>
  <c r="Y64" i="21" s="1"/>
  <c r="Y69" i="21" s="1"/>
  <c r="Y72" i="21" s="1"/>
  <c r="Y107" i="22"/>
  <c r="Y57" i="22"/>
  <c r="Y90" i="22" s="1"/>
  <c r="Y112" i="22"/>
  <c r="H113" i="21"/>
  <c r="H108" i="21"/>
  <c r="M39" i="6"/>
  <c r="N36" i="6" s="1"/>
  <c r="M57" i="6"/>
  <c r="M90" i="6" s="1"/>
  <c r="M21" i="6"/>
  <c r="N14" i="6"/>
  <c r="N38" i="6"/>
  <c r="N37" i="6"/>
  <c r="M30" i="6"/>
  <c r="M71" i="6" s="1"/>
  <c r="M105" i="6" s="1"/>
  <c r="M107" i="6"/>
  <c r="L33" i="6"/>
  <c r="M23" i="6"/>
  <c r="L27" i="6"/>
  <c r="M106" i="6"/>
  <c r="H61" i="21" l="1"/>
  <c r="H58" i="21"/>
  <c r="F113" i="20"/>
  <c r="F108" i="20"/>
  <c r="F101" i="20"/>
  <c r="G97" i="20" s="1"/>
  <c r="F93" i="21"/>
  <c r="F104" i="21"/>
  <c r="I101" i="21"/>
  <c r="J97" i="21" s="1"/>
  <c r="I113" i="21"/>
  <c r="I114" i="21" s="1"/>
  <c r="I108" i="21"/>
  <c r="L105" i="22"/>
  <c r="Y106" i="20"/>
  <c r="AB106" i="20" s="1"/>
  <c r="Y30" i="20"/>
  <c r="Y26" i="20"/>
  <c r="E45" i="20"/>
  <c r="Y105" i="22"/>
  <c r="N15" i="6"/>
  <c r="N30" i="6" s="1"/>
  <c r="N71" i="6" s="1"/>
  <c r="N105" i="6" s="1"/>
  <c r="N15" i="22"/>
  <c r="M106" i="22"/>
  <c r="M26" i="22"/>
  <c r="M30" i="22"/>
  <c r="AB19" i="22"/>
  <c r="X105" i="20"/>
  <c r="H114" i="21"/>
  <c r="Y56" i="20"/>
  <c r="Y89" i="20" s="1"/>
  <c r="Y19" i="20"/>
  <c r="Y10" i="20"/>
  <c r="Y16" i="20" s="1"/>
  <c r="E42" i="20"/>
  <c r="X27" i="20"/>
  <c r="N8" i="6"/>
  <c r="N56" i="6" s="1"/>
  <c r="N89" i="6" s="1"/>
  <c r="N14" i="22"/>
  <c r="N12" i="22"/>
  <c r="N8" i="22"/>
  <c r="M21" i="22"/>
  <c r="M107" i="22"/>
  <c r="M57" i="22"/>
  <c r="M90" i="22" s="1"/>
  <c r="Y116" i="20"/>
  <c r="AB116" i="20"/>
  <c r="AB25" i="20"/>
  <c r="F83" i="21"/>
  <c r="N39" i="6"/>
  <c r="O36" i="6" s="1"/>
  <c r="N19" i="6"/>
  <c r="N25" i="6"/>
  <c r="N116" i="6" s="1"/>
  <c r="M112" i="6"/>
  <c r="M16" i="6"/>
  <c r="M26" i="6"/>
  <c r="M111" i="6" s="1"/>
  <c r="N12" i="6"/>
  <c r="I53" i="21" l="1"/>
  <c r="M111" i="22"/>
  <c r="AB111" i="22" s="1"/>
  <c r="AB26" i="22"/>
  <c r="Y71" i="20"/>
  <c r="Y33" i="20"/>
  <c r="E47" i="20"/>
  <c r="F65" i="20" s="1"/>
  <c r="F69" i="20" s="1"/>
  <c r="F72" i="20" s="1"/>
  <c r="G64" i="20" s="1"/>
  <c r="G69" i="20" s="1"/>
  <c r="G72" i="20" s="1"/>
  <c r="H64" i="20" s="1"/>
  <c r="H69" i="20" s="1"/>
  <c r="H72" i="20" s="1"/>
  <c r="I64" i="20" s="1"/>
  <c r="I69" i="20" s="1"/>
  <c r="I72" i="20" s="1"/>
  <c r="J64" i="20" s="1"/>
  <c r="F109" i="21"/>
  <c r="F122" i="21" s="1"/>
  <c r="G75" i="21"/>
  <c r="F94" i="21"/>
  <c r="M71" i="22"/>
  <c r="M33" i="22"/>
  <c r="Y111" i="20"/>
  <c r="AB26" i="20"/>
  <c r="AB106" i="22"/>
  <c r="J99" i="21"/>
  <c r="J100" i="21"/>
  <c r="J101" i="21"/>
  <c r="K97" i="21" s="1"/>
  <c r="N30" i="22"/>
  <c r="N106" i="22"/>
  <c r="G99" i="20"/>
  <c r="G100" i="20" s="1"/>
  <c r="G101" i="20"/>
  <c r="H97" i="20" s="1"/>
  <c r="N10" i="6"/>
  <c r="F114" i="20"/>
  <c r="F54" i="20"/>
  <c r="M112" i="22"/>
  <c r="AB112" i="22" s="1"/>
  <c r="AB21" i="22"/>
  <c r="AB27" i="22" s="1"/>
  <c r="Y21" i="20"/>
  <c r="Y107" i="20"/>
  <c r="AB107" i="20" s="1"/>
  <c r="Y57" i="20"/>
  <c r="Y90" i="20" s="1"/>
  <c r="E43" i="20"/>
  <c r="O14" i="6"/>
  <c r="O25" i="6" s="1"/>
  <c r="O116" i="6" s="1"/>
  <c r="O14" i="22"/>
  <c r="O12" i="22"/>
  <c r="O8" i="22"/>
  <c r="N10" i="22"/>
  <c r="N56" i="22"/>
  <c r="N89" i="22" s="1"/>
  <c r="AB19" i="20"/>
  <c r="M27" i="22"/>
  <c r="O38" i="6"/>
  <c r="O37" i="6"/>
  <c r="O8" i="6"/>
  <c r="O19" i="6" s="1"/>
  <c r="N57" i="6"/>
  <c r="N90" i="6" s="1"/>
  <c r="N21" i="6"/>
  <c r="N107" i="6"/>
  <c r="M33" i="6"/>
  <c r="N23" i="6"/>
  <c r="M27" i="6"/>
  <c r="N106" i="6"/>
  <c r="G113" i="20" l="1"/>
  <c r="G108" i="20"/>
  <c r="AB111" i="20"/>
  <c r="J69" i="20"/>
  <c r="J72" i="20" s="1"/>
  <c r="K64" i="20" s="1"/>
  <c r="Y105" i="20"/>
  <c r="AB105" i="20" s="1"/>
  <c r="Y112" i="20"/>
  <c r="AB112" i="20" s="1"/>
  <c r="AB21" i="20"/>
  <c r="AB27" i="20" s="1"/>
  <c r="N71" i="22"/>
  <c r="N33" i="22"/>
  <c r="M105" i="22"/>
  <c r="H100" i="20"/>
  <c r="H99" i="20"/>
  <c r="K99" i="21"/>
  <c r="K100" i="21" s="1"/>
  <c r="K101" i="21" s="1"/>
  <c r="L97" i="21" s="1"/>
  <c r="O10" i="22"/>
  <c r="F58" i="20"/>
  <c r="F61" i="20" s="1"/>
  <c r="E48" i="20"/>
  <c r="J113" i="21"/>
  <c r="J108" i="21"/>
  <c r="G80" i="21"/>
  <c r="G91" i="21" s="1"/>
  <c r="G119" i="21" s="1"/>
  <c r="G82" i="21"/>
  <c r="G86" i="21"/>
  <c r="G118" i="21" s="1"/>
  <c r="I58" i="21"/>
  <c r="N107" i="22"/>
  <c r="AB107" i="22" s="1"/>
  <c r="N57" i="22"/>
  <c r="N90" i="22" s="1"/>
  <c r="Y27" i="20"/>
  <c r="N16" i="22"/>
  <c r="O15" i="6"/>
  <c r="O30" i="6" s="1"/>
  <c r="O71" i="6" s="1"/>
  <c r="O105" i="6" s="1"/>
  <c r="O15" i="22"/>
  <c r="O30" i="22" s="1"/>
  <c r="O39" i="6"/>
  <c r="P36" i="6" s="1"/>
  <c r="O10" i="6"/>
  <c r="O21" i="6" s="1"/>
  <c r="O56" i="6"/>
  <c r="O89" i="6" s="1"/>
  <c r="N112" i="6"/>
  <c r="N16" i="6"/>
  <c r="N26" i="6"/>
  <c r="N111" i="6" s="1"/>
  <c r="O12" i="6"/>
  <c r="G53" i="20" l="1"/>
  <c r="K69" i="20"/>
  <c r="K72" i="20" s="1"/>
  <c r="L64" i="20" s="1"/>
  <c r="L69" i="20" s="1"/>
  <c r="L72" i="20" s="1"/>
  <c r="M64" i="20" s="1"/>
  <c r="L99" i="21"/>
  <c r="L100" i="21" s="1"/>
  <c r="L101" i="21"/>
  <c r="M97" i="21" s="1"/>
  <c r="P38" i="6"/>
  <c r="P14" i="22"/>
  <c r="P12" i="22"/>
  <c r="P8" i="22"/>
  <c r="H101" i="20"/>
  <c r="I97" i="20" s="1"/>
  <c r="H108" i="20"/>
  <c r="H113" i="20"/>
  <c r="H114" i="20" s="1"/>
  <c r="G120" i="21"/>
  <c r="P14" i="6"/>
  <c r="O16" i="22"/>
  <c r="N105" i="22"/>
  <c r="AB105" i="22" s="1"/>
  <c r="J114" i="21"/>
  <c r="G83" i="21"/>
  <c r="G104" i="21"/>
  <c r="G93" i="21"/>
  <c r="I61" i="21"/>
  <c r="E49" i="20"/>
  <c r="F76" i="20" s="1"/>
  <c r="K113" i="21"/>
  <c r="K114" i="21" s="1"/>
  <c r="K108" i="21"/>
  <c r="G114" i="20"/>
  <c r="P37" i="6"/>
  <c r="P15" i="22" s="1"/>
  <c r="P30" i="22" s="1"/>
  <c r="P8" i="6"/>
  <c r="P10" i="6" s="1"/>
  <c r="O57" i="6"/>
  <c r="O90" i="6" s="1"/>
  <c r="P25" i="6"/>
  <c r="P116" i="6" s="1"/>
  <c r="O107" i="6"/>
  <c r="N33" i="6"/>
  <c r="O23" i="6"/>
  <c r="N27" i="6"/>
  <c r="O106" i="6"/>
  <c r="M69" i="20" l="1"/>
  <c r="M72" i="20" s="1"/>
  <c r="N64" i="20" s="1"/>
  <c r="F80" i="20"/>
  <c r="F91" i="20" s="1"/>
  <c r="F119" i="20" s="1"/>
  <c r="F87" i="20"/>
  <c r="F118" i="20" s="1"/>
  <c r="J53" i="21"/>
  <c r="L113" i="21"/>
  <c r="L114" i="21" s="1"/>
  <c r="L108" i="21"/>
  <c r="M99" i="21"/>
  <c r="M100" i="21" s="1"/>
  <c r="M101" i="21"/>
  <c r="N97" i="21" s="1"/>
  <c r="H75" i="21"/>
  <c r="G94" i="21"/>
  <c r="I99" i="20"/>
  <c r="I100" i="20" s="1"/>
  <c r="P19" i="6"/>
  <c r="P56" i="6"/>
  <c r="P89" i="6" s="1"/>
  <c r="P10" i="22"/>
  <c r="P16" i="22" s="1"/>
  <c r="G109" i="21"/>
  <c r="G122" i="21" s="1"/>
  <c r="P39" i="6"/>
  <c r="Q36" i="6" s="1"/>
  <c r="P15" i="6"/>
  <c r="E50" i="20"/>
  <c r="G58" i="20"/>
  <c r="P21" i="6"/>
  <c r="Q8" i="6"/>
  <c r="Q14" i="6"/>
  <c r="Q37" i="6"/>
  <c r="Q38" i="6"/>
  <c r="P30" i="6"/>
  <c r="P71" i="6" s="1"/>
  <c r="P105" i="6" s="1"/>
  <c r="O112" i="6"/>
  <c r="O16" i="6"/>
  <c r="O26" i="6"/>
  <c r="O111" i="6" s="1"/>
  <c r="P12" i="6"/>
  <c r="P57" i="6" s="1"/>
  <c r="P90" i="6" s="1"/>
  <c r="N69" i="20" l="1"/>
  <c r="N72" i="20" s="1"/>
  <c r="O64" i="20" s="1"/>
  <c r="I113" i="20"/>
  <c r="I108" i="20"/>
  <c r="I101" i="20"/>
  <c r="J97" i="20" s="1"/>
  <c r="F120" i="20"/>
  <c r="G61" i="20"/>
  <c r="H80" i="21"/>
  <c r="H91" i="21" s="1"/>
  <c r="H119" i="21" s="1"/>
  <c r="H82" i="21"/>
  <c r="H86" i="21"/>
  <c r="H118" i="21" s="1"/>
  <c r="F82" i="20"/>
  <c r="N99" i="21"/>
  <c r="N100" i="21" s="1"/>
  <c r="N101" i="21"/>
  <c r="O97" i="21" s="1"/>
  <c r="M113" i="21"/>
  <c r="M114" i="21" s="1"/>
  <c r="M108" i="21"/>
  <c r="J58" i="21"/>
  <c r="J61" i="21" s="1"/>
  <c r="Q15" i="6"/>
  <c r="Q30" i="6" s="1"/>
  <c r="Q71" i="6" s="1"/>
  <c r="Q105" i="6" s="1"/>
  <c r="Q15" i="22"/>
  <c r="Q30" i="22" s="1"/>
  <c r="Q12" i="22"/>
  <c r="Q8" i="22"/>
  <c r="Q14" i="22"/>
  <c r="Q39" i="6"/>
  <c r="R36" i="6" s="1"/>
  <c r="Q25" i="6"/>
  <c r="Q116" i="6" s="1"/>
  <c r="R37" i="6"/>
  <c r="Q10" i="6"/>
  <c r="Q56" i="6"/>
  <c r="Q89" i="6" s="1"/>
  <c r="Q19" i="6"/>
  <c r="P107" i="6"/>
  <c r="O33" i="6"/>
  <c r="P23" i="6"/>
  <c r="O27" i="6"/>
  <c r="P106" i="6"/>
  <c r="K53" i="21" l="1"/>
  <c r="O69" i="20"/>
  <c r="O72" i="20"/>
  <c r="P64" i="20" s="1"/>
  <c r="P69" i="20" s="1"/>
  <c r="P72" i="20" s="1"/>
  <c r="Q64" i="20" s="1"/>
  <c r="N108" i="21"/>
  <c r="N113" i="21"/>
  <c r="N114" i="21" s="1"/>
  <c r="F83" i="20"/>
  <c r="F93" i="20"/>
  <c r="F104" i="20"/>
  <c r="R15" i="6"/>
  <c r="R15" i="22"/>
  <c r="R30" i="22" s="1"/>
  <c r="H120" i="21"/>
  <c r="J99" i="20"/>
  <c r="J100" i="20"/>
  <c r="H83" i="21"/>
  <c r="H104" i="21"/>
  <c r="H93" i="21"/>
  <c r="O99" i="21"/>
  <c r="O100" i="21" s="1"/>
  <c r="I114" i="20"/>
  <c r="R14" i="6"/>
  <c r="R12" i="22"/>
  <c r="R8" i="22"/>
  <c r="R10" i="22" s="1"/>
  <c r="R14" i="22"/>
  <c r="H53" i="20"/>
  <c r="Q10" i="22"/>
  <c r="Q16" i="22" s="1"/>
  <c r="R8" i="6"/>
  <c r="R10" i="6" s="1"/>
  <c r="R38" i="6"/>
  <c r="R39" i="6" s="1"/>
  <c r="S36" i="6" s="1"/>
  <c r="R30" i="6"/>
  <c r="R71" i="6" s="1"/>
  <c r="R105" i="6" s="1"/>
  <c r="R56" i="6"/>
  <c r="R89" i="6" s="1"/>
  <c r="R19" i="6"/>
  <c r="Q21" i="6"/>
  <c r="R25" i="6"/>
  <c r="R116" i="6" s="1"/>
  <c r="P112" i="6"/>
  <c r="P16" i="6"/>
  <c r="P26" i="6"/>
  <c r="P111" i="6" s="1"/>
  <c r="Q12" i="6"/>
  <c r="Q57" i="6" s="1"/>
  <c r="Q90" i="6" s="1"/>
  <c r="J113" i="20" l="1"/>
  <c r="J108" i="20"/>
  <c r="J101" i="20"/>
  <c r="K97" i="20" s="1"/>
  <c r="G75" i="20"/>
  <c r="F94" i="20"/>
  <c r="H58" i="20"/>
  <c r="H61" i="20" s="1"/>
  <c r="O101" i="21"/>
  <c r="P97" i="21" s="1"/>
  <c r="O113" i="21"/>
  <c r="O114" i="21" s="1"/>
  <c r="O108" i="21"/>
  <c r="H122" i="21"/>
  <c r="Q69" i="20"/>
  <c r="Q72" i="20" s="1"/>
  <c r="R64" i="20" s="1"/>
  <c r="R69" i="20" s="1"/>
  <c r="R72" i="20" s="1"/>
  <c r="S64" i="20" s="1"/>
  <c r="S69" i="20" s="1"/>
  <c r="S72" i="20" s="1"/>
  <c r="T64" i="20" s="1"/>
  <c r="S8" i="22"/>
  <c r="S14" i="22"/>
  <c r="S12" i="22"/>
  <c r="R16" i="22"/>
  <c r="H109" i="21"/>
  <c r="I75" i="21"/>
  <c r="H94" i="21"/>
  <c r="F109" i="20"/>
  <c r="F122" i="20" s="1"/>
  <c r="K58" i="21"/>
  <c r="K61" i="21" s="1"/>
  <c r="S37" i="6"/>
  <c r="S15" i="22" s="1"/>
  <c r="S30" i="22" s="1"/>
  <c r="S14" i="6"/>
  <c r="S25" i="6" s="1"/>
  <c r="S116" i="6" s="1"/>
  <c r="S38" i="6"/>
  <c r="S39" i="6" s="1"/>
  <c r="T36" i="6" s="1"/>
  <c r="S8" i="6"/>
  <c r="S19" i="6" s="1"/>
  <c r="R21" i="6"/>
  <c r="Q107" i="6"/>
  <c r="P33" i="6"/>
  <c r="Q23" i="6"/>
  <c r="P27" i="6"/>
  <c r="I53" i="20" l="1"/>
  <c r="T69" i="20"/>
  <c r="T72" i="20" s="1"/>
  <c r="U64" i="20" s="1"/>
  <c r="U69" i="20" s="1"/>
  <c r="U72" i="20" s="1"/>
  <c r="V64" i="20" s="1"/>
  <c r="V69" i="20" s="1"/>
  <c r="V72" i="20" s="1"/>
  <c r="W64" i="20" s="1"/>
  <c r="L53" i="21"/>
  <c r="T8" i="22"/>
  <c r="T14" i="22"/>
  <c r="T12" i="22"/>
  <c r="S16" i="22"/>
  <c r="S10" i="22"/>
  <c r="G80" i="20"/>
  <c r="G91" i="20" s="1"/>
  <c r="G119" i="20" s="1"/>
  <c r="G86" i="20"/>
  <c r="G118" i="20" s="1"/>
  <c r="K99" i="20"/>
  <c r="K100" i="20"/>
  <c r="I80" i="21"/>
  <c r="I91" i="21" s="1"/>
  <c r="I119" i="21" s="1"/>
  <c r="I82" i="21"/>
  <c r="I86" i="21"/>
  <c r="I118" i="21" s="1"/>
  <c r="S15" i="6"/>
  <c r="S30" i="6" s="1"/>
  <c r="S71" i="6" s="1"/>
  <c r="S105" i="6" s="1"/>
  <c r="P99" i="21"/>
  <c r="P100" i="21"/>
  <c r="J114" i="20"/>
  <c r="S10" i="6"/>
  <c r="S21" i="6" s="1"/>
  <c r="S56" i="6"/>
  <c r="S89" i="6" s="1"/>
  <c r="T14" i="6"/>
  <c r="T37" i="6"/>
  <c r="T15" i="22" s="1"/>
  <c r="T30" i="22" s="1"/>
  <c r="T38" i="6"/>
  <c r="T8" i="6"/>
  <c r="Q112" i="6"/>
  <c r="Q106" i="6"/>
  <c r="Q33" i="6"/>
  <c r="Q26" i="6"/>
  <c r="Q111" i="6" s="1"/>
  <c r="Q16" i="6"/>
  <c r="R12" i="6"/>
  <c r="R57" i="6" s="1"/>
  <c r="R90" i="6" s="1"/>
  <c r="W69" i="20" l="1"/>
  <c r="W72" i="20" s="1"/>
  <c r="X64" i="20" s="1"/>
  <c r="X69" i="20" s="1"/>
  <c r="X72" i="20" s="1"/>
  <c r="Y64" i="20" s="1"/>
  <c r="I120" i="21"/>
  <c r="P101" i="21"/>
  <c r="Q97" i="21" s="1"/>
  <c r="K101" i="20"/>
  <c r="L97" i="20" s="1"/>
  <c r="G120" i="20"/>
  <c r="T10" i="22"/>
  <c r="T16" i="22" s="1"/>
  <c r="G82" i="20"/>
  <c r="L58" i="21"/>
  <c r="L61" i="21" s="1"/>
  <c r="I58" i="20"/>
  <c r="I61" i="20" s="1"/>
  <c r="I83" i="21"/>
  <c r="I104" i="21"/>
  <c r="I93" i="21"/>
  <c r="P113" i="21"/>
  <c r="P114" i="21" s="1"/>
  <c r="P108" i="21"/>
  <c r="K113" i="20"/>
  <c r="K108" i="20"/>
  <c r="T25" i="6"/>
  <c r="T116" i="6" s="1"/>
  <c r="T10" i="6"/>
  <c r="T56" i="6"/>
  <c r="T89" i="6" s="1"/>
  <c r="T19" i="6"/>
  <c r="T15" i="6"/>
  <c r="T39" i="6"/>
  <c r="U36" i="6" s="1"/>
  <c r="R107" i="6"/>
  <c r="R106" i="6"/>
  <c r="R26" i="6"/>
  <c r="R111" i="6" s="1"/>
  <c r="R23" i="6"/>
  <c r="Q27" i="6"/>
  <c r="R33" i="6"/>
  <c r="R16" i="6"/>
  <c r="M53" i="21" l="1"/>
  <c r="J53" i="20"/>
  <c r="Y69" i="20"/>
  <c r="Y72" i="20" s="1"/>
  <c r="U8" i="22"/>
  <c r="U14" i="22"/>
  <c r="U12" i="22"/>
  <c r="L99" i="20"/>
  <c r="L100" i="20" s="1"/>
  <c r="Q99" i="21"/>
  <c r="Q100" i="21" s="1"/>
  <c r="G83" i="20"/>
  <c r="G93" i="20"/>
  <c r="G104" i="20"/>
  <c r="J75" i="21"/>
  <c r="I94" i="21"/>
  <c r="I109" i="21"/>
  <c r="I122" i="21" s="1"/>
  <c r="K114" i="20"/>
  <c r="U8" i="6"/>
  <c r="U38" i="6"/>
  <c r="U37" i="6"/>
  <c r="U15" i="22" s="1"/>
  <c r="U30" i="22" s="1"/>
  <c r="U14" i="6"/>
  <c r="T21" i="6"/>
  <c r="T30" i="6"/>
  <c r="T71" i="6" s="1"/>
  <c r="T105" i="6" s="1"/>
  <c r="R112" i="6"/>
  <c r="R27" i="6"/>
  <c r="S12" i="6"/>
  <c r="S57" i="6" s="1"/>
  <c r="S90" i="6" s="1"/>
  <c r="Q108" i="21" l="1"/>
  <c r="Q113" i="21"/>
  <c r="Q114" i="21" s="1"/>
  <c r="Q101" i="21"/>
  <c r="R97" i="21" s="1"/>
  <c r="H75" i="20"/>
  <c r="G94" i="20"/>
  <c r="L101" i="20"/>
  <c r="M97" i="20" s="1"/>
  <c r="U10" i="22"/>
  <c r="U16" i="22"/>
  <c r="J80" i="21"/>
  <c r="J91" i="21" s="1"/>
  <c r="J119" i="21" s="1"/>
  <c r="J82" i="21"/>
  <c r="J83" i="21" s="1"/>
  <c r="J86" i="21"/>
  <c r="J118" i="21" s="1"/>
  <c r="L113" i="20"/>
  <c r="L114" i="20" s="1"/>
  <c r="L108" i="20"/>
  <c r="J58" i="20"/>
  <c r="G109" i="20"/>
  <c r="G122" i="20" s="1"/>
  <c r="M58" i="21"/>
  <c r="M61" i="21"/>
  <c r="U56" i="6"/>
  <c r="U89" i="6" s="1"/>
  <c r="U10" i="6"/>
  <c r="U19" i="6"/>
  <c r="U25" i="6"/>
  <c r="U116" i="6" s="1"/>
  <c r="U15" i="6"/>
  <c r="U39" i="6"/>
  <c r="V36" i="6" s="1"/>
  <c r="S107" i="6"/>
  <c r="S106" i="6"/>
  <c r="S26" i="6"/>
  <c r="S111" i="6" s="1"/>
  <c r="S23" i="6"/>
  <c r="S33" i="6"/>
  <c r="S16" i="6"/>
  <c r="K75" i="21" l="1"/>
  <c r="J94" i="21"/>
  <c r="N53" i="21"/>
  <c r="V14" i="22"/>
  <c r="V8" i="22"/>
  <c r="V12" i="22"/>
  <c r="J120" i="21"/>
  <c r="H80" i="20"/>
  <c r="H91" i="20" s="1"/>
  <c r="H119" i="20" s="1"/>
  <c r="H82" i="20"/>
  <c r="H83" i="20" s="1"/>
  <c r="H86" i="20"/>
  <c r="H118" i="20" s="1"/>
  <c r="R99" i="21"/>
  <c r="R100" i="21" s="1"/>
  <c r="J104" i="21"/>
  <c r="J93" i="21"/>
  <c r="M99" i="20"/>
  <c r="M100" i="20" s="1"/>
  <c r="M101" i="20"/>
  <c r="N97" i="20" s="1"/>
  <c r="J61" i="20"/>
  <c r="V8" i="6"/>
  <c r="V37" i="6"/>
  <c r="V15" i="22" s="1"/>
  <c r="V30" i="22" s="1"/>
  <c r="V14" i="6"/>
  <c r="V38" i="6"/>
  <c r="U30" i="6"/>
  <c r="U71" i="6" s="1"/>
  <c r="U105" i="6" s="1"/>
  <c r="U21" i="6"/>
  <c r="S112" i="6"/>
  <c r="S27" i="6"/>
  <c r="T12" i="6"/>
  <c r="T57" i="6" s="1"/>
  <c r="T90" i="6" s="1"/>
  <c r="R113" i="21" l="1"/>
  <c r="R114" i="21" s="1"/>
  <c r="R108" i="21"/>
  <c r="I75" i="20"/>
  <c r="H94" i="20"/>
  <c r="K53" i="20"/>
  <c r="V10" i="22"/>
  <c r="V16" i="22" s="1"/>
  <c r="M108" i="20"/>
  <c r="M113" i="20"/>
  <c r="M114" i="20" s="1"/>
  <c r="H104" i="20"/>
  <c r="H93" i="20"/>
  <c r="N58" i="21"/>
  <c r="N61" i="21" s="1"/>
  <c r="H120" i="20"/>
  <c r="J109" i="21"/>
  <c r="J122" i="21" s="1"/>
  <c r="N99" i="20"/>
  <c r="N100" i="20" s="1"/>
  <c r="N101" i="20"/>
  <c r="O97" i="20" s="1"/>
  <c r="R101" i="21"/>
  <c r="S97" i="21" s="1"/>
  <c r="K80" i="21"/>
  <c r="K91" i="21" s="1"/>
  <c r="K119" i="21" s="1"/>
  <c r="K82" i="21"/>
  <c r="K83" i="21"/>
  <c r="K86" i="21"/>
  <c r="K118" i="21" s="1"/>
  <c r="K120" i="21" s="1"/>
  <c r="V56" i="6"/>
  <c r="V89" i="6" s="1"/>
  <c r="V19" i="6"/>
  <c r="V10" i="6"/>
  <c r="V25" i="6"/>
  <c r="V116" i="6" s="1"/>
  <c r="V15" i="6"/>
  <c r="V39" i="6"/>
  <c r="W36" i="6" s="1"/>
  <c r="T107" i="6"/>
  <c r="T106" i="6"/>
  <c r="T26" i="6"/>
  <c r="T111" i="6" s="1"/>
  <c r="T23" i="6"/>
  <c r="T16" i="6"/>
  <c r="O53" i="21" l="1"/>
  <c r="S99" i="21"/>
  <c r="S100" i="21"/>
  <c r="N113" i="20"/>
  <c r="N114" i="20" s="1"/>
  <c r="N108" i="20"/>
  <c r="K58" i="20"/>
  <c r="K61" i="20"/>
  <c r="H109" i="20"/>
  <c r="H122" i="20" s="1"/>
  <c r="L75" i="21"/>
  <c r="K94" i="21"/>
  <c r="I80" i="20"/>
  <c r="I91" i="20" s="1"/>
  <c r="I119" i="20" s="1"/>
  <c r="I86" i="20"/>
  <c r="I118" i="20" s="1"/>
  <c r="O99" i="20"/>
  <c r="O100" i="20" s="1"/>
  <c r="W14" i="22"/>
  <c r="W8" i="22"/>
  <c r="W12" i="22"/>
  <c r="K104" i="21"/>
  <c r="K109" i="21" s="1"/>
  <c r="K122" i="21" s="1"/>
  <c r="K93" i="21"/>
  <c r="W8" i="6"/>
  <c r="W14" i="6"/>
  <c r="W37" i="6"/>
  <c r="W15" i="22" s="1"/>
  <c r="W30" i="22" s="1"/>
  <c r="W38" i="6"/>
  <c r="V21" i="6"/>
  <c r="V30" i="6"/>
  <c r="V71" i="6" s="1"/>
  <c r="V105" i="6" s="1"/>
  <c r="T112" i="6"/>
  <c r="T33" i="6"/>
  <c r="T27" i="6"/>
  <c r="U12" i="6"/>
  <c r="U57" i="6" s="1"/>
  <c r="U90" i="6" s="1"/>
  <c r="O108" i="20" l="1"/>
  <c r="O113" i="20"/>
  <c r="O114" i="20" s="1"/>
  <c r="O101" i="20"/>
  <c r="P97" i="20" s="1"/>
  <c r="L80" i="21"/>
  <c r="L91" i="21" s="1"/>
  <c r="L119" i="21" s="1"/>
  <c r="L86" i="21"/>
  <c r="L118" i="21" s="1"/>
  <c r="L120" i="21" s="1"/>
  <c r="S113" i="21"/>
  <c r="S114" i="21" s="1"/>
  <c r="S108" i="21"/>
  <c r="I120" i="20"/>
  <c r="S101" i="21"/>
  <c r="T97" i="21" s="1"/>
  <c r="L53" i="20"/>
  <c r="I82" i="20"/>
  <c r="O58" i="21"/>
  <c r="O61" i="21" s="1"/>
  <c r="W10" i="22"/>
  <c r="W16" i="22" s="1"/>
  <c r="W56" i="6"/>
  <c r="W89" i="6" s="1"/>
  <c r="W10" i="6"/>
  <c r="W19" i="6"/>
  <c r="W15" i="6"/>
  <c r="W39" i="6"/>
  <c r="X36" i="6" s="1"/>
  <c r="W25" i="6"/>
  <c r="W116" i="6" s="1"/>
  <c r="U107" i="6"/>
  <c r="U106" i="6"/>
  <c r="U23" i="6"/>
  <c r="U26" i="6"/>
  <c r="U111" i="6" s="1"/>
  <c r="U33" i="6"/>
  <c r="U16" i="6"/>
  <c r="P53" i="21" l="1"/>
  <c r="L58" i="20"/>
  <c r="L61" i="20" s="1"/>
  <c r="L83" i="21"/>
  <c r="T101" i="21"/>
  <c r="U97" i="21" s="1"/>
  <c r="T99" i="21"/>
  <c r="T100" i="21"/>
  <c r="L82" i="21"/>
  <c r="I104" i="20"/>
  <c r="I93" i="20"/>
  <c r="I83" i="20"/>
  <c r="X14" i="22"/>
  <c r="X12" i="22"/>
  <c r="X8" i="22"/>
  <c r="P99" i="20"/>
  <c r="W30" i="6"/>
  <c r="W71" i="6" s="1"/>
  <c r="W105" i="6" s="1"/>
  <c r="X37" i="6"/>
  <c r="X15" i="22" s="1"/>
  <c r="X30" i="22" s="1"/>
  <c r="X14" i="6"/>
  <c r="X8" i="6"/>
  <c r="X38" i="6"/>
  <c r="W21" i="6"/>
  <c r="U112" i="6"/>
  <c r="U27" i="6"/>
  <c r="V12" i="6"/>
  <c r="V57" i="6" s="1"/>
  <c r="V90" i="6" s="1"/>
  <c r="M53" i="20" l="1"/>
  <c r="M75" i="21"/>
  <c r="L94" i="21"/>
  <c r="J75" i="20"/>
  <c r="I94" i="20"/>
  <c r="U101" i="21"/>
  <c r="V97" i="21" s="1"/>
  <c r="U99" i="21"/>
  <c r="U100" i="21"/>
  <c r="I109" i="20"/>
  <c r="I122" i="20" s="1"/>
  <c r="L93" i="21"/>
  <c r="L104" i="21"/>
  <c r="L109" i="21" s="1"/>
  <c r="L122" i="21" s="1"/>
  <c r="T113" i="21"/>
  <c r="T114" i="21" s="1"/>
  <c r="T108" i="21"/>
  <c r="P58" i="21"/>
  <c r="P61" i="21"/>
  <c r="P100" i="20"/>
  <c r="X10" i="22"/>
  <c r="X16" i="22"/>
  <c r="X56" i="6"/>
  <c r="X89" i="6" s="1"/>
  <c r="X19" i="6"/>
  <c r="X10" i="6"/>
  <c r="X25" i="6"/>
  <c r="X116" i="6" s="1"/>
  <c r="X15" i="6"/>
  <c r="X39" i="6"/>
  <c r="Y36" i="6" s="1"/>
  <c r="V107" i="6"/>
  <c r="V23" i="6"/>
  <c r="V106" i="6"/>
  <c r="V99" i="21" l="1"/>
  <c r="V100" i="21"/>
  <c r="P113" i="20"/>
  <c r="P114" i="20" s="1"/>
  <c r="P108" i="20"/>
  <c r="P101" i="20"/>
  <c r="Q97" i="20" s="1"/>
  <c r="J80" i="20"/>
  <c r="J86" i="20"/>
  <c r="J118" i="20" s="1"/>
  <c r="F100" i="6"/>
  <c r="Y12" i="22"/>
  <c r="E44" i="22" s="1"/>
  <c r="Y14" i="22"/>
  <c r="Y8" i="22"/>
  <c r="F100" i="22"/>
  <c r="M80" i="21"/>
  <c r="M86" i="21"/>
  <c r="M118" i="21" s="1"/>
  <c r="U113" i="21"/>
  <c r="U114" i="21" s="1"/>
  <c r="U108" i="21"/>
  <c r="Q53" i="21"/>
  <c r="M58" i="20"/>
  <c r="M61" i="20"/>
  <c r="F101" i="6"/>
  <c r="G97" i="6" s="1"/>
  <c r="F113" i="6"/>
  <c r="F108" i="6"/>
  <c r="Y8" i="6"/>
  <c r="Y14" i="6"/>
  <c r="Y37" i="6"/>
  <c r="Y15" i="22" s="1"/>
  <c r="Y38" i="6"/>
  <c r="X30" i="6"/>
  <c r="X71" i="6" s="1"/>
  <c r="X105" i="6" s="1"/>
  <c r="X21" i="6"/>
  <c r="V112" i="6"/>
  <c r="W106" i="6"/>
  <c r="W26" i="6"/>
  <c r="W111" i="6" s="1"/>
  <c r="V16" i="6"/>
  <c r="V26" i="6"/>
  <c r="V111" i="6" s="1"/>
  <c r="W12" i="6"/>
  <c r="W57" i="6" s="1"/>
  <c r="W90" i="6" s="1"/>
  <c r="M82" i="21" l="1"/>
  <c r="M91" i="21"/>
  <c r="M119" i="21" s="1"/>
  <c r="Y30" i="22"/>
  <c r="E45" i="22"/>
  <c r="J82" i="20"/>
  <c r="J91" i="20"/>
  <c r="J119" i="20" s="1"/>
  <c r="J120" i="20" s="1"/>
  <c r="F113" i="22"/>
  <c r="F108" i="22"/>
  <c r="F101" i="22"/>
  <c r="G97" i="22" s="1"/>
  <c r="Q99" i="20"/>
  <c r="Q100" i="20" s="1"/>
  <c r="N53" i="20"/>
  <c r="Y10" i="22"/>
  <c r="E43" i="22" s="1"/>
  <c r="Y16" i="22"/>
  <c r="E42" i="22"/>
  <c r="N59" i="22"/>
  <c r="Q58" i="21"/>
  <c r="Q61" i="21" s="1"/>
  <c r="V113" i="21"/>
  <c r="V114" i="21" s="1"/>
  <c r="V108" i="21"/>
  <c r="M120" i="21"/>
  <c r="V101" i="21"/>
  <c r="W97" i="21" s="1"/>
  <c r="G99" i="6"/>
  <c r="G100" i="6" s="1"/>
  <c r="Y15" i="6"/>
  <c r="Y39" i="6"/>
  <c r="Y25" i="6"/>
  <c r="Y10" i="6"/>
  <c r="Y19" i="6"/>
  <c r="AB19" i="6" s="1"/>
  <c r="Y56" i="6"/>
  <c r="Y89" i="6" s="1"/>
  <c r="E42" i="6"/>
  <c r="F114" i="6"/>
  <c r="W107" i="6"/>
  <c r="V33" i="6"/>
  <c r="W23" i="6"/>
  <c r="V27" i="6"/>
  <c r="W33" i="6"/>
  <c r="X12" i="6"/>
  <c r="X57" i="6" s="1"/>
  <c r="X90" i="6" s="1"/>
  <c r="W16" i="6"/>
  <c r="R53" i="21" l="1"/>
  <c r="Q113" i="20"/>
  <c r="Q114" i="20" s="1"/>
  <c r="Q108" i="20"/>
  <c r="Q101" i="20"/>
  <c r="R97" i="20" s="1"/>
  <c r="G113" i="6"/>
  <c r="G108" i="6"/>
  <c r="N58" i="20"/>
  <c r="N61" i="20" s="1"/>
  <c r="G101" i="6"/>
  <c r="H97" i="6" s="1"/>
  <c r="J104" i="20"/>
  <c r="J93" i="20"/>
  <c r="M122" i="21"/>
  <c r="E47" i="22"/>
  <c r="F65" i="22" s="1"/>
  <c r="F69" i="22" s="1"/>
  <c r="F72" i="22" s="1"/>
  <c r="G64" i="22" s="1"/>
  <c r="G69" i="22" s="1"/>
  <c r="G72" i="22" s="1"/>
  <c r="H64" i="22" s="1"/>
  <c r="H69" i="22" s="1"/>
  <c r="H72" i="22" s="1"/>
  <c r="I64" i="22" s="1"/>
  <c r="I69" i="22" s="1"/>
  <c r="I72" i="22" s="1"/>
  <c r="J64" i="22" s="1"/>
  <c r="J69" i="22" s="1"/>
  <c r="J72" i="22" s="1"/>
  <c r="K64" i="22" s="1"/>
  <c r="K69" i="22" s="1"/>
  <c r="K72" i="22" s="1"/>
  <c r="L64" i="22" s="1"/>
  <c r="L69" i="22" s="1"/>
  <c r="L72" i="22" s="1"/>
  <c r="M64" i="22" s="1"/>
  <c r="M69" i="22" s="1"/>
  <c r="M72" i="22" s="1"/>
  <c r="N64" i="22" s="1"/>
  <c r="N69" i="22" s="1"/>
  <c r="N72" i="22" s="1"/>
  <c r="O64" i="22" s="1"/>
  <c r="O69" i="22" s="1"/>
  <c r="O72" i="22" s="1"/>
  <c r="P64" i="22" s="1"/>
  <c r="P69" i="22" s="1"/>
  <c r="P72" i="22" s="1"/>
  <c r="Q64" i="22" s="1"/>
  <c r="Q69" i="22" s="1"/>
  <c r="Q72" i="22" s="1"/>
  <c r="R64" i="22" s="1"/>
  <c r="R69" i="22" s="1"/>
  <c r="R72" i="22" s="1"/>
  <c r="S64" i="22" s="1"/>
  <c r="S69" i="22" s="1"/>
  <c r="S72" i="22" s="1"/>
  <c r="T64" i="22" s="1"/>
  <c r="T69" i="22" s="1"/>
  <c r="T72" i="22" s="1"/>
  <c r="U64" i="22" s="1"/>
  <c r="U69" i="22" s="1"/>
  <c r="U72" i="22" s="1"/>
  <c r="V64" i="22" s="1"/>
  <c r="V69" i="22" s="1"/>
  <c r="V72" i="22" s="1"/>
  <c r="W64" i="22" s="1"/>
  <c r="W69" i="22" s="1"/>
  <c r="W72" i="22" s="1"/>
  <c r="X64" i="22" s="1"/>
  <c r="X69" i="22" s="1"/>
  <c r="X72" i="22" s="1"/>
  <c r="Y64" i="22" s="1"/>
  <c r="Y69" i="22" s="1"/>
  <c r="Y72" i="22" s="1"/>
  <c r="N70" i="22"/>
  <c r="N81" i="22" s="1"/>
  <c r="W99" i="21"/>
  <c r="W100" i="21"/>
  <c r="W101" i="21" s="1"/>
  <c r="X97" i="21" s="1"/>
  <c r="E48" i="22"/>
  <c r="G99" i="22"/>
  <c r="M93" i="21"/>
  <c r="M104" i="21"/>
  <c r="M109" i="21" s="1"/>
  <c r="M83" i="21"/>
  <c r="F54" i="22"/>
  <c r="F114" i="22"/>
  <c r="J83" i="20"/>
  <c r="Y30" i="6"/>
  <c r="Y71" i="6" s="1"/>
  <c r="Y105" i="6" s="1"/>
  <c r="E45" i="6"/>
  <c r="Y116" i="6"/>
  <c r="AB116" i="6"/>
  <c r="E43" i="6"/>
  <c r="Y21" i="6"/>
  <c r="W27" i="6"/>
  <c r="W112" i="6"/>
  <c r="X107" i="6"/>
  <c r="X23" i="6"/>
  <c r="X106" i="6"/>
  <c r="X99" i="21" l="1"/>
  <c r="X100" i="21" s="1"/>
  <c r="O53" i="20"/>
  <c r="N75" i="21"/>
  <c r="M94" i="21"/>
  <c r="R99" i="20"/>
  <c r="W108" i="21"/>
  <c r="W113" i="21"/>
  <c r="W114" i="21" s="1"/>
  <c r="J109" i="20"/>
  <c r="J122" i="20" s="1"/>
  <c r="F58" i="22"/>
  <c r="E49" i="22"/>
  <c r="F76" i="22" s="1"/>
  <c r="K75" i="20"/>
  <c r="J94" i="20"/>
  <c r="N92" i="22"/>
  <c r="H99" i="6"/>
  <c r="H100" i="6" s="1"/>
  <c r="G100" i="22"/>
  <c r="R58" i="21"/>
  <c r="R61" i="21" s="1"/>
  <c r="G114" i="6"/>
  <c r="X112" i="6"/>
  <c r="X16" i="6"/>
  <c r="X26" i="6"/>
  <c r="Y12" i="6"/>
  <c r="H101" i="6" l="1"/>
  <c r="I97" i="6" s="1"/>
  <c r="H113" i="6"/>
  <c r="H108" i="6"/>
  <c r="S53" i="21"/>
  <c r="X108" i="21"/>
  <c r="X113" i="21"/>
  <c r="X114" i="21" s="1"/>
  <c r="F80" i="22"/>
  <c r="F82" i="22" s="1"/>
  <c r="G113" i="22"/>
  <c r="G108" i="22"/>
  <c r="F87" i="22"/>
  <c r="F118" i="22" s="1"/>
  <c r="F61" i="22"/>
  <c r="F91" i="22"/>
  <c r="F119" i="22" s="1"/>
  <c r="G101" i="22"/>
  <c r="H97" i="22" s="1"/>
  <c r="O58" i="20"/>
  <c r="N80" i="21"/>
  <c r="N86" i="21"/>
  <c r="N118" i="21" s="1"/>
  <c r="K80" i="20"/>
  <c r="K86" i="20"/>
  <c r="K118" i="20" s="1"/>
  <c r="E50" i="22"/>
  <c r="R100" i="20"/>
  <c r="X101" i="21"/>
  <c r="Y97" i="21" s="1"/>
  <c r="AB25" i="6"/>
  <c r="H114" i="6"/>
  <c r="E44" i="6"/>
  <c r="F54" i="6" s="1"/>
  <c r="Y57" i="6"/>
  <c r="Y90" i="6" s="1"/>
  <c r="X111" i="6"/>
  <c r="Y107" i="6"/>
  <c r="X33" i="6"/>
  <c r="Y23" i="6"/>
  <c r="AB22" i="6"/>
  <c r="X27" i="6"/>
  <c r="H99" i="22" l="1"/>
  <c r="H100" i="22" s="1"/>
  <c r="H101" i="22" s="1"/>
  <c r="I97" i="22" s="1"/>
  <c r="F104" i="22"/>
  <c r="F93" i="22"/>
  <c r="K82" i="20"/>
  <c r="K91" i="20"/>
  <c r="K119" i="20" s="1"/>
  <c r="N120" i="21"/>
  <c r="G53" i="22"/>
  <c r="Y99" i="21"/>
  <c r="Y100" i="21" s="1"/>
  <c r="Y101" i="21"/>
  <c r="F120" i="22"/>
  <c r="N82" i="21"/>
  <c r="N91" i="21"/>
  <c r="N119" i="21" s="1"/>
  <c r="S58" i="21"/>
  <c r="S61" i="21"/>
  <c r="G114" i="22"/>
  <c r="R108" i="20"/>
  <c r="R113" i="20"/>
  <c r="R114" i="20" s="1"/>
  <c r="O61" i="20"/>
  <c r="R101" i="20"/>
  <c r="S97" i="20" s="1"/>
  <c r="K120" i="20"/>
  <c r="F83" i="22"/>
  <c r="G75" i="22" s="1"/>
  <c r="I99" i="6"/>
  <c r="I100" i="6"/>
  <c r="AB21" i="6"/>
  <c r="F58" i="6"/>
  <c r="Y112" i="6"/>
  <c r="AB107" i="6"/>
  <c r="Y33" i="6"/>
  <c r="Y106" i="6"/>
  <c r="Y26" i="6"/>
  <c r="Y16" i="6"/>
  <c r="I99" i="22" l="1"/>
  <c r="I100" i="22" s="1"/>
  <c r="K104" i="20"/>
  <c r="K109" i="20" s="1"/>
  <c r="K122" i="20" s="1"/>
  <c r="K93" i="20"/>
  <c r="K83" i="20"/>
  <c r="N104" i="21"/>
  <c r="N109" i="21" s="1"/>
  <c r="N122" i="21" s="1"/>
  <c r="N93" i="21"/>
  <c r="T53" i="21"/>
  <c r="S99" i="20"/>
  <c r="S100" i="20"/>
  <c r="F109" i="22"/>
  <c r="F122" i="22" s="1"/>
  <c r="P53" i="20"/>
  <c r="Y108" i="21"/>
  <c r="AB108" i="21" s="1"/>
  <c r="Y113" i="21"/>
  <c r="I101" i="6"/>
  <c r="J97" i="6" s="1"/>
  <c r="I108" i="6"/>
  <c r="I113" i="6"/>
  <c r="I114" i="6" s="1"/>
  <c r="F94" i="22"/>
  <c r="H113" i="22"/>
  <c r="H108" i="22"/>
  <c r="G80" i="22"/>
  <c r="G58" i="22"/>
  <c r="G91" i="22" s="1"/>
  <c r="G119" i="22" s="1"/>
  <c r="G86" i="22"/>
  <c r="G118" i="22" s="1"/>
  <c r="N83" i="21"/>
  <c r="F61" i="6"/>
  <c r="AB106" i="6"/>
  <c r="AB23" i="6"/>
  <c r="AB112" i="6"/>
  <c r="Y27" i="6"/>
  <c r="Y111" i="6"/>
  <c r="E47" i="6"/>
  <c r="AB24" i="6"/>
  <c r="G61" i="22" l="1"/>
  <c r="G82" i="22"/>
  <c r="J99" i="6"/>
  <c r="J100" i="6"/>
  <c r="L75" i="20"/>
  <c r="K94" i="20"/>
  <c r="G120" i="22"/>
  <c r="T58" i="21"/>
  <c r="T61" i="21" s="1"/>
  <c r="Y114" i="21"/>
  <c r="AB113" i="21"/>
  <c r="AB114" i="21" s="1"/>
  <c r="S108" i="20"/>
  <c r="S113" i="20"/>
  <c r="S114" i="20" s="1"/>
  <c r="S101" i="20"/>
  <c r="T97" i="20" s="1"/>
  <c r="I101" i="22"/>
  <c r="J97" i="22" s="1"/>
  <c r="O75" i="21"/>
  <c r="N94" i="21"/>
  <c r="H114" i="22"/>
  <c r="P58" i="20"/>
  <c r="I108" i="22"/>
  <c r="I113" i="22"/>
  <c r="I114" i="22" s="1"/>
  <c r="G53" i="6"/>
  <c r="E48" i="6"/>
  <c r="E49" i="6" s="1"/>
  <c r="F76" i="6" s="1"/>
  <c r="F80" i="6" s="1"/>
  <c r="F65" i="6"/>
  <c r="AB26" i="6"/>
  <c r="AB27" i="6" s="1"/>
  <c r="AB105" i="6"/>
  <c r="U53" i="21" l="1"/>
  <c r="L80" i="20"/>
  <c r="L91" i="20" s="1"/>
  <c r="L119" i="20" s="1"/>
  <c r="L82" i="20"/>
  <c r="L86" i="20"/>
  <c r="L118" i="20" s="1"/>
  <c r="L120" i="20" s="1"/>
  <c r="O80" i="21"/>
  <c r="O91" i="21" s="1"/>
  <c r="O119" i="21" s="1"/>
  <c r="O86" i="21"/>
  <c r="O118" i="21" s="1"/>
  <c r="J101" i="6"/>
  <c r="K97" i="6" s="1"/>
  <c r="K99" i="6" s="1"/>
  <c r="K100" i="6" s="1"/>
  <c r="J108" i="6"/>
  <c r="J113" i="6"/>
  <c r="J114" i="6" s="1"/>
  <c r="J99" i="22"/>
  <c r="J100" i="22" s="1"/>
  <c r="G104" i="22"/>
  <c r="G93" i="22"/>
  <c r="P61" i="20"/>
  <c r="T99" i="20"/>
  <c r="T100" i="20"/>
  <c r="H53" i="22"/>
  <c r="G83" i="22"/>
  <c r="H75" i="22" s="1"/>
  <c r="E50" i="6"/>
  <c r="F87" i="6"/>
  <c r="F118" i="6" s="1"/>
  <c r="G58" i="6"/>
  <c r="F82" i="6"/>
  <c r="F69" i="6"/>
  <c r="F72" i="6" s="1"/>
  <c r="H58" i="22" l="1"/>
  <c r="H61" i="22" s="1"/>
  <c r="H86" i="22"/>
  <c r="H118" i="22" s="1"/>
  <c r="O82" i="21"/>
  <c r="T113" i="20"/>
  <c r="T114" i="20" s="1"/>
  <c r="T108" i="20"/>
  <c r="J101" i="22"/>
  <c r="K97" i="22" s="1"/>
  <c r="T101" i="20"/>
  <c r="U97" i="20" s="1"/>
  <c r="L104" i="20"/>
  <c r="L109" i="20" s="1"/>
  <c r="L122" i="20" s="1"/>
  <c r="L93" i="20"/>
  <c r="Q53" i="20"/>
  <c r="L83" i="20"/>
  <c r="K101" i="6"/>
  <c r="L97" i="6" s="1"/>
  <c r="K108" i="6"/>
  <c r="K113" i="6"/>
  <c r="K114" i="6" s="1"/>
  <c r="J113" i="22"/>
  <c r="J108" i="22"/>
  <c r="H80" i="22"/>
  <c r="O120" i="21"/>
  <c r="U58" i="21"/>
  <c r="G94" i="22"/>
  <c r="G109" i="22"/>
  <c r="G122" i="22" s="1"/>
  <c r="O83" i="21"/>
  <c r="F83" i="6"/>
  <c r="G75" i="6" s="1"/>
  <c r="G80" i="6" s="1"/>
  <c r="F93" i="6"/>
  <c r="G61" i="6"/>
  <c r="G64" i="6"/>
  <c r="F91" i="6"/>
  <c r="F119" i="6" s="1"/>
  <c r="F104" i="6"/>
  <c r="I53" i="22" l="1"/>
  <c r="U99" i="20"/>
  <c r="K99" i="22"/>
  <c r="K100" i="22" s="1"/>
  <c r="P75" i="21"/>
  <c r="O94" i="21"/>
  <c r="H82" i="22"/>
  <c r="M75" i="20"/>
  <c r="L94" i="20"/>
  <c r="L99" i="6"/>
  <c r="L100" i="6" s="1"/>
  <c r="O104" i="21"/>
  <c r="O109" i="21" s="1"/>
  <c r="O122" i="21" s="1"/>
  <c r="O93" i="21"/>
  <c r="Q58" i="20"/>
  <c r="Q61" i="20" s="1"/>
  <c r="U61" i="21"/>
  <c r="J114" i="22"/>
  <c r="H91" i="22"/>
  <c r="H119" i="22" s="1"/>
  <c r="H120" i="22" s="1"/>
  <c r="F94" i="6"/>
  <c r="F109" i="6"/>
  <c r="G86" i="6"/>
  <c r="G118" i="6" s="1"/>
  <c r="G69" i="6"/>
  <c r="G72" i="6" s="1"/>
  <c r="H64" i="6" s="1"/>
  <c r="H69" i="6" s="1"/>
  <c r="H72" i="6" s="1"/>
  <c r="I64" i="6" s="1"/>
  <c r="I69" i="6" s="1"/>
  <c r="I72" i="6" s="1"/>
  <c r="J64" i="6" s="1"/>
  <c r="J69" i="6" s="1"/>
  <c r="J72" i="6" s="1"/>
  <c r="K64" i="6" s="1"/>
  <c r="K69" i="6" s="1"/>
  <c r="K72" i="6" s="1"/>
  <c r="L64" i="6" s="1"/>
  <c r="L69" i="6" s="1"/>
  <c r="L72" i="6" s="1"/>
  <c r="M64" i="6" s="1"/>
  <c r="M69" i="6" s="1"/>
  <c r="M72" i="6" s="1"/>
  <c r="N64" i="6" s="1"/>
  <c r="N69" i="6" s="1"/>
  <c r="N72" i="6" s="1"/>
  <c r="O64" i="6" s="1"/>
  <c r="O69" i="6" s="1"/>
  <c r="O72" i="6" s="1"/>
  <c r="P64" i="6" s="1"/>
  <c r="P69" i="6" s="1"/>
  <c r="P72" i="6" s="1"/>
  <c r="Q64" i="6" s="1"/>
  <c r="Q69" i="6" s="1"/>
  <c r="Q72" i="6" s="1"/>
  <c r="R64" i="6" s="1"/>
  <c r="R69" i="6" s="1"/>
  <c r="R72" i="6" s="1"/>
  <c r="S64" i="6" s="1"/>
  <c r="S69" i="6" s="1"/>
  <c r="S72" i="6" s="1"/>
  <c r="T64" i="6" s="1"/>
  <c r="T69" i="6" s="1"/>
  <c r="T72" i="6" s="1"/>
  <c r="U64" i="6" s="1"/>
  <c r="U69" i="6" s="1"/>
  <c r="U72" i="6" s="1"/>
  <c r="V64" i="6" s="1"/>
  <c r="V69" i="6" s="1"/>
  <c r="V72" i="6" s="1"/>
  <c r="W64" i="6" s="1"/>
  <c r="W69" i="6" s="1"/>
  <c r="W72" i="6" s="1"/>
  <c r="X64" i="6" s="1"/>
  <c r="X69" i="6" s="1"/>
  <c r="X72" i="6" s="1"/>
  <c r="Y64" i="6" s="1"/>
  <c r="Y69" i="6" s="1"/>
  <c r="Y72" i="6" s="1"/>
  <c r="H53" i="6"/>
  <c r="G82" i="6"/>
  <c r="G104" i="6" s="1"/>
  <c r="R53" i="20" l="1"/>
  <c r="U101" i="20"/>
  <c r="V97" i="20" s="1"/>
  <c r="L101" i="6"/>
  <c r="M97" i="6" s="1"/>
  <c r="M99" i="6" s="1"/>
  <c r="M100" i="6" s="1"/>
  <c r="L113" i="6"/>
  <c r="L114" i="6" s="1"/>
  <c r="L108" i="6"/>
  <c r="K113" i="22"/>
  <c r="K108" i="22"/>
  <c r="U100" i="20"/>
  <c r="M80" i="20"/>
  <c r="M91" i="20" s="1"/>
  <c r="M119" i="20" s="1"/>
  <c r="M82" i="20"/>
  <c r="M83" i="20"/>
  <c r="M86" i="20"/>
  <c r="M118" i="20" s="1"/>
  <c r="M120" i="20" s="1"/>
  <c r="H104" i="22"/>
  <c r="H93" i="22"/>
  <c r="P80" i="21"/>
  <c r="P91" i="21" s="1"/>
  <c r="P119" i="21" s="1"/>
  <c r="P86" i="21"/>
  <c r="P118" i="21" s="1"/>
  <c r="V53" i="21"/>
  <c r="I58" i="22"/>
  <c r="I61" i="22"/>
  <c r="K101" i="22"/>
  <c r="L97" i="22" s="1"/>
  <c r="H83" i="22"/>
  <c r="G109" i="6"/>
  <c r="G91" i="6"/>
  <c r="G119" i="6" s="1"/>
  <c r="G93" i="6"/>
  <c r="H58" i="6"/>
  <c r="G83" i="6"/>
  <c r="K114" i="22" l="1"/>
  <c r="H109" i="22"/>
  <c r="H122" i="22" s="1"/>
  <c r="V58" i="21"/>
  <c r="V61" i="21"/>
  <c r="N75" i="20"/>
  <c r="M94" i="20"/>
  <c r="M101" i="6"/>
  <c r="N97" i="6" s="1"/>
  <c r="N99" i="6" s="1"/>
  <c r="N100" i="6" s="1"/>
  <c r="M113" i="6"/>
  <c r="M114" i="6" s="1"/>
  <c r="M108" i="6"/>
  <c r="P120" i="21"/>
  <c r="M104" i="20"/>
  <c r="M109" i="20" s="1"/>
  <c r="M122" i="20" s="1"/>
  <c r="M93" i="20"/>
  <c r="V99" i="20"/>
  <c r="V100" i="20" s="1"/>
  <c r="V101" i="20"/>
  <c r="W97" i="20" s="1"/>
  <c r="L99" i="22"/>
  <c r="L100" i="22" s="1"/>
  <c r="P82" i="21"/>
  <c r="R58" i="20"/>
  <c r="R61" i="20"/>
  <c r="J53" i="22"/>
  <c r="I75" i="22"/>
  <c r="H94" i="22"/>
  <c r="P83" i="21"/>
  <c r="U108" i="20"/>
  <c r="U113" i="20"/>
  <c r="U114" i="20" s="1"/>
  <c r="H75" i="6"/>
  <c r="H80" i="6" s="1"/>
  <c r="G94" i="6"/>
  <c r="H61" i="6"/>
  <c r="L101" i="22" l="1"/>
  <c r="M97" i="22" s="1"/>
  <c r="M99" i="22" s="1"/>
  <c r="M100" i="22" s="1"/>
  <c r="L108" i="22"/>
  <c r="L113" i="22"/>
  <c r="L114" i="22" s="1"/>
  <c r="P122" i="21"/>
  <c r="W53" i="21"/>
  <c r="P93" i="21"/>
  <c r="P104" i="21"/>
  <c r="P109" i="21" s="1"/>
  <c r="S53" i="20"/>
  <c r="N101" i="6"/>
  <c r="O97" i="6" s="1"/>
  <c r="O99" i="6" s="1"/>
  <c r="O100" i="6" s="1"/>
  <c r="N113" i="6"/>
  <c r="N114" i="6" s="1"/>
  <c r="N108" i="6"/>
  <c r="Q75" i="21"/>
  <c r="P94" i="21"/>
  <c r="I80" i="22"/>
  <c r="I91" i="22" s="1"/>
  <c r="I119" i="22" s="1"/>
  <c r="I82" i="22"/>
  <c r="I86" i="22"/>
  <c r="I118" i="22" s="1"/>
  <c r="W99" i="20"/>
  <c r="W101" i="20" s="1"/>
  <c r="X97" i="20" s="1"/>
  <c r="W100" i="20"/>
  <c r="J58" i="22"/>
  <c r="J61" i="22" s="1"/>
  <c r="V108" i="20"/>
  <c r="V113" i="20"/>
  <c r="V114" i="20" s="1"/>
  <c r="N80" i="20"/>
  <c r="N86" i="20"/>
  <c r="N118" i="20" s="1"/>
  <c r="I53" i="6"/>
  <c r="H86" i="6"/>
  <c r="H118" i="6" s="1"/>
  <c r="K53" i="22" l="1"/>
  <c r="X99" i="20"/>
  <c r="X100" i="20" s="1"/>
  <c r="Q80" i="21"/>
  <c r="Q86" i="21"/>
  <c r="Q118" i="21" s="1"/>
  <c r="N82" i="20"/>
  <c r="N83" i="20" s="1"/>
  <c r="N91" i="20"/>
  <c r="N119" i="20" s="1"/>
  <c r="N120" i="20" s="1"/>
  <c r="W113" i="20"/>
  <c r="W114" i="20" s="1"/>
  <c r="W108" i="20"/>
  <c r="O101" i="6"/>
  <c r="P97" i="6" s="1"/>
  <c r="O113" i="6"/>
  <c r="O114" i="6" s="1"/>
  <c r="O108" i="6"/>
  <c r="I120" i="22"/>
  <c r="I93" i="22"/>
  <c r="I104" i="22"/>
  <c r="I83" i="22"/>
  <c r="S58" i="20"/>
  <c r="W58" i="21"/>
  <c r="W61" i="21" s="1"/>
  <c r="M101" i="22"/>
  <c r="N97" i="22" s="1"/>
  <c r="M113" i="22"/>
  <c r="M114" i="22" s="1"/>
  <c r="M108" i="22"/>
  <c r="H82" i="6"/>
  <c r="H104" i="6" s="1"/>
  <c r="H91" i="6"/>
  <c r="H119" i="6" s="1"/>
  <c r="I58" i="6"/>
  <c r="X113" i="20" l="1"/>
  <c r="X114" i="20" s="1"/>
  <c r="X108" i="20"/>
  <c r="O75" i="20"/>
  <c r="N94" i="20"/>
  <c r="X53" i="21"/>
  <c r="N99" i="22"/>
  <c r="N100" i="22" s="1"/>
  <c r="J75" i="22"/>
  <c r="I94" i="22"/>
  <c r="P99" i="6"/>
  <c r="P100" i="6" s="1"/>
  <c r="Q82" i="21"/>
  <c r="Q91" i="21"/>
  <c r="Q119" i="21" s="1"/>
  <c r="I109" i="22"/>
  <c r="I122" i="22" s="1"/>
  <c r="X101" i="20"/>
  <c r="Y97" i="20" s="1"/>
  <c r="Q120" i="21"/>
  <c r="N104" i="20"/>
  <c r="N109" i="20" s="1"/>
  <c r="N122" i="20" s="1"/>
  <c r="N93" i="20"/>
  <c r="S61" i="20"/>
  <c r="K58" i="22"/>
  <c r="K61" i="22" s="1"/>
  <c r="H109" i="6"/>
  <c r="I61" i="6"/>
  <c r="H83" i="6"/>
  <c r="H93" i="6"/>
  <c r="L53" i="22" l="1"/>
  <c r="N108" i="22"/>
  <c r="N113" i="22"/>
  <c r="N114" i="22" s="1"/>
  <c r="P101" i="6"/>
  <c r="Q97" i="6" s="1"/>
  <c r="P113" i="6"/>
  <c r="P114" i="6" s="1"/>
  <c r="P108" i="6"/>
  <c r="X58" i="21"/>
  <c r="X61" i="21"/>
  <c r="Q104" i="21"/>
  <c r="Q109" i="21" s="1"/>
  <c r="Q93" i="21"/>
  <c r="Q83" i="21"/>
  <c r="Q122" i="21"/>
  <c r="Y99" i="20"/>
  <c r="Y100" i="20" s="1"/>
  <c r="J80" i="22"/>
  <c r="J91" i="22" s="1"/>
  <c r="J119" i="22" s="1"/>
  <c r="J82" i="22"/>
  <c r="J86" i="22"/>
  <c r="J118" i="22" s="1"/>
  <c r="O80" i="20"/>
  <c r="O91" i="20" s="1"/>
  <c r="O119" i="20" s="1"/>
  <c r="O82" i="20"/>
  <c r="O83" i="20"/>
  <c r="O86" i="20"/>
  <c r="O118" i="20" s="1"/>
  <c r="N101" i="22"/>
  <c r="O97" i="22" s="1"/>
  <c r="T53" i="20"/>
  <c r="I75" i="6"/>
  <c r="I80" i="6" s="1"/>
  <c r="H94" i="6"/>
  <c r="J53" i="6"/>
  <c r="Y108" i="20" l="1"/>
  <c r="AB108" i="20" s="1"/>
  <c r="Y113" i="20"/>
  <c r="Y101" i="20"/>
  <c r="O104" i="20"/>
  <c r="O109" i="20" s="1"/>
  <c r="O122" i="20" s="1"/>
  <c r="O93" i="20"/>
  <c r="T58" i="20"/>
  <c r="R75" i="21"/>
  <c r="Q94" i="21"/>
  <c r="Q99" i="6"/>
  <c r="Q100" i="6" s="1"/>
  <c r="J104" i="22"/>
  <c r="J93" i="22"/>
  <c r="P75" i="20"/>
  <c r="O94" i="20"/>
  <c r="J83" i="22"/>
  <c r="O99" i="22"/>
  <c r="O100" i="22" s="1"/>
  <c r="J120" i="22"/>
  <c r="Y53" i="21"/>
  <c r="O120" i="20"/>
  <c r="L58" i="22"/>
  <c r="L61" i="22"/>
  <c r="J58" i="6"/>
  <c r="I91" i="6"/>
  <c r="I119" i="6" s="1"/>
  <c r="I86" i="6"/>
  <c r="I118" i="6" s="1"/>
  <c r="Q101" i="6" l="1"/>
  <c r="R97" i="6" s="1"/>
  <c r="R99" i="6" s="1"/>
  <c r="R100" i="6" s="1"/>
  <c r="Q108" i="6"/>
  <c r="Q113" i="6"/>
  <c r="Q114" i="6" s="1"/>
  <c r="O101" i="22"/>
  <c r="P97" i="22" s="1"/>
  <c r="J109" i="22"/>
  <c r="J122" i="22" s="1"/>
  <c r="P80" i="20"/>
  <c r="P86" i="20"/>
  <c r="P118" i="20" s="1"/>
  <c r="M53" i="22"/>
  <c r="Y58" i="21"/>
  <c r="O113" i="22"/>
  <c r="O114" i="22" s="1"/>
  <c r="O108" i="22"/>
  <c r="Y114" i="20"/>
  <c r="AB113" i="20"/>
  <c r="AB114" i="20" s="1"/>
  <c r="T61" i="20"/>
  <c r="K75" i="22"/>
  <c r="J94" i="22"/>
  <c r="R80" i="21"/>
  <c r="R86" i="21"/>
  <c r="R118" i="21" s="1"/>
  <c r="I82" i="6"/>
  <c r="I104" i="6" s="1"/>
  <c r="J61" i="6"/>
  <c r="P82" i="20" l="1"/>
  <c r="P91" i="20"/>
  <c r="P119" i="20" s="1"/>
  <c r="U53" i="20"/>
  <c r="P99" i="22"/>
  <c r="P100" i="22" s="1"/>
  <c r="P101" i="22" s="1"/>
  <c r="Q97" i="22" s="1"/>
  <c r="Y61" i="21"/>
  <c r="K80" i="22"/>
  <c r="K91" i="22" s="1"/>
  <c r="K119" i="22" s="1"/>
  <c r="K82" i="22"/>
  <c r="K86" i="22"/>
  <c r="K118" i="22" s="1"/>
  <c r="M58" i="22"/>
  <c r="M61" i="22"/>
  <c r="P120" i="20"/>
  <c r="R82" i="21"/>
  <c r="R91" i="21"/>
  <c r="R119" i="21" s="1"/>
  <c r="R120" i="21"/>
  <c r="R83" i="21"/>
  <c r="P83" i="20"/>
  <c r="R101" i="6"/>
  <c r="S97" i="6" s="1"/>
  <c r="S99" i="6" s="1"/>
  <c r="S100" i="6" s="1"/>
  <c r="R108" i="6"/>
  <c r="R113" i="6"/>
  <c r="R114" i="6" s="1"/>
  <c r="I109" i="6"/>
  <c r="K53" i="6"/>
  <c r="I83" i="6"/>
  <c r="I93" i="6"/>
  <c r="Q99" i="22" l="1"/>
  <c r="Q100" i="22" s="1"/>
  <c r="Q101" i="22" s="1"/>
  <c r="R97" i="22" s="1"/>
  <c r="S101" i="6"/>
  <c r="T97" i="6" s="1"/>
  <c r="T99" i="6" s="1"/>
  <c r="T100" i="6" s="1"/>
  <c r="S108" i="6"/>
  <c r="S113" i="6"/>
  <c r="S114" i="6" s="1"/>
  <c r="N53" i="22"/>
  <c r="P108" i="22"/>
  <c r="P113" i="22"/>
  <c r="P114" i="22" s="1"/>
  <c r="Q75" i="20"/>
  <c r="P94" i="20"/>
  <c r="S75" i="21"/>
  <c r="R94" i="21"/>
  <c r="U58" i="20"/>
  <c r="U61" i="20" s="1"/>
  <c r="K104" i="22"/>
  <c r="K109" i="22" s="1"/>
  <c r="K122" i="22" s="1"/>
  <c r="K93" i="22"/>
  <c r="K83" i="22"/>
  <c r="R104" i="21"/>
  <c r="R109" i="21" s="1"/>
  <c r="R122" i="21" s="1"/>
  <c r="R93" i="21"/>
  <c r="K120" i="22"/>
  <c r="P104" i="20"/>
  <c r="P109" i="20" s="1"/>
  <c r="P122" i="20" s="1"/>
  <c r="P93" i="20"/>
  <c r="J75" i="6"/>
  <c r="J80" i="6" s="1"/>
  <c r="I94" i="6"/>
  <c r="K58" i="6"/>
  <c r="AB111" i="6"/>
  <c r="V53" i="20" l="1"/>
  <c r="R99" i="22"/>
  <c r="R100" i="22" s="1"/>
  <c r="R101" i="22" s="1"/>
  <c r="S97" i="22" s="1"/>
  <c r="N58" i="22"/>
  <c r="N61" i="22" s="1"/>
  <c r="L75" i="22"/>
  <c r="K94" i="22"/>
  <c r="S80" i="21"/>
  <c r="S86" i="21"/>
  <c r="S118" i="21" s="1"/>
  <c r="T101" i="6"/>
  <c r="U97" i="6" s="1"/>
  <c r="T113" i="6"/>
  <c r="T114" i="6" s="1"/>
  <c r="T108" i="6"/>
  <c r="Q80" i="20"/>
  <c r="Q86" i="20"/>
  <c r="Q118" i="20" s="1"/>
  <c r="Q108" i="22"/>
  <c r="Q113" i="22"/>
  <c r="Q114" i="22" s="1"/>
  <c r="K61" i="6"/>
  <c r="J86" i="6"/>
  <c r="J118" i="6" s="1"/>
  <c r="O53" i="22" l="1"/>
  <c r="S99" i="22"/>
  <c r="S100" i="22" s="1"/>
  <c r="S101" i="22" s="1"/>
  <c r="T97" i="22" s="1"/>
  <c r="R108" i="22"/>
  <c r="R113" i="22"/>
  <c r="R114" i="22" s="1"/>
  <c r="Q82" i="20"/>
  <c r="Q91" i="20"/>
  <c r="Q119" i="20" s="1"/>
  <c r="U99" i="6"/>
  <c r="U100" i="6" s="1"/>
  <c r="Q120" i="20"/>
  <c r="S82" i="21"/>
  <c r="S91" i="21"/>
  <c r="S119" i="21" s="1"/>
  <c r="S120" i="21" s="1"/>
  <c r="V58" i="20"/>
  <c r="V61" i="20"/>
  <c r="L80" i="22"/>
  <c r="L91" i="22" s="1"/>
  <c r="L119" i="22" s="1"/>
  <c r="L86" i="22"/>
  <c r="L118" i="22" s="1"/>
  <c r="L120" i="22" s="1"/>
  <c r="Q83" i="20"/>
  <c r="J82" i="6"/>
  <c r="J104" i="6" s="1"/>
  <c r="J91" i="6"/>
  <c r="J119" i="6" s="1"/>
  <c r="L53" i="6"/>
  <c r="U101" i="6" l="1"/>
  <c r="V97" i="6" s="1"/>
  <c r="V99" i="6" s="1"/>
  <c r="V100" i="6" s="1"/>
  <c r="U113" i="6"/>
  <c r="U114" i="6" s="1"/>
  <c r="U108" i="6"/>
  <c r="T99" i="22"/>
  <c r="T100" i="22" s="1"/>
  <c r="S104" i="21"/>
  <c r="S109" i="21" s="1"/>
  <c r="S122" i="21" s="1"/>
  <c r="S93" i="21"/>
  <c r="S83" i="21"/>
  <c r="L82" i="22"/>
  <c r="S108" i="22"/>
  <c r="S113" i="22"/>
  <c r="S114" i="22" s="1"/>
  <c r="W53" i="20"/>
  <c r="R75" i="20"/>
  <c r="Q94" i="20"/>
  <c r="Q104" i="20"/>
  <c r="Q109" i="20" s="1"/>
  <c r="Q122" i="20" s="1"/>
  <c r="Q93" i="20"/>
  <c r="O58" i="22"/>
  <c r="O61" i="22" s="1"/>
  <c r="J109" i="6"/>
  <c r="L58" i="6"/>
  <c r="J83" i="6"/>
  <c r="J93" i="6"/>
  <c r="P53" i="22" l="1"/>
  <c r="R80" i="20"/>
  <c r="R86" i="20"/>
  <c r="R118" i="20" s="1"/>
  <c r="W58" i="20"/>
  <c r="W61" i="20"/>
  <c r="T101" i="22"/>
  <c r="U97" i="22" s="1"/>
  <c r="T113" i="22"/>
  <c r="T114" i="22" s="1"/>
  <c r="T108" i="22"/>
  <c r="L104" i="22"/>
  <c r="L109" i="22" s="1"/>
  <c r="L122" i="22" s="1"/>
  <c r="L93" i="22"/>
  <c r="L83" i="22"/>
  <c r="T75" i="21"/>
  <c r="S94" i="21"/>
  <c r="V101" i="6"/>
  <c r="W97" i="6" s="1"/>
  <c r="W99" i="6" s="1"/>
  <c r="W100" i="6" s="1"/>
  <c r="V113" i="6"/>
  <c r="V114" i="6" s="1"/>
  <c r="V108" i="6"/>
  <c r="K75" i="6"/>
  <c r="K80" i="6" s="1"/>
  <c r="J94" i="6"/>
  <c r="L61" i="6"/>
  <c r="T80" i="21" l="1"/>
  <c r="T86" i="21"/>
  <c r="T118" i="21" s="1"/>
  <c r="R120" i="20"/>
  <c r="M75" i="22"/>
  <c r="L94" i="22"/>
  <c r="R82" i="20"/>
  <c r="R91" i="20"/>
  <c r="R119" i="20" s="1"/>
  <c r="W101" i="6"/>
  <c r="X97" i="6" s="1"/>
  <c r="X99" i="6" s="1"/>
  <c r="X100" i="6" s="1"/>
  <c r="W113" i="6"/>
  <c r="W114" i="6" s="1"/>
  <c r="W108" i="6"/>
  <c r="X53" i="20"/>
  <c r="U99" i="22"/>
  <c r="U100" i="22" s="1"/>
  <c r="P58" i="22"/>
  <c r="M53" i="6"/>
  <c r="K86" i="6"/>
  <c r="K118" i="6" s="1"/>
  <c r="M80" i="22" l="1"/>
  <c r="M91" i="22" s="1"/>
  <c r="M119" i="22" s="1"/>
  <c r="M120" i="22" s="1"/>
  <c r="M86" i="22"/>
  <c r="M118" i="22" s="1"/>
  <c r="T120" i="21"/>
  <c r="U113" i="22"/>
  <c r="U114" i="22" s="1"/>
  <c r="U108" i="22"/>
  <c r="X58" i="20"/>
  <c r="X61" i="20" s="1"/>
  <c r="X101" i="6"/>
  <c r="Y97" i="6" s="1"/>
  <c r="Y99" i="6" s="1"/>
  <c r="Y100" i="6" s="1"/>
  <c r="X108" i="6"/>
  <c r="X113" i="6"/>
  <c r="T82" i="21"/>
  <c r="T91" i="21"/>
  <c r="T119" i="21" s="1"/>
  <c r="P61" i="22"/>
  <c r="U101" i="22"/>
  <c r="V97" i="22" s="1"/>
  <c r="R104" i="20"/>
  <c r="R109" i="20" s="1"/>
  <c r="R122" i="20" s="1"/>
  <c r="R93" i="20"/>
  <c r="R83" i="20"/>
  <c r="K82" i="6"/>
  <c r="K104" i="6" s="1"/>
  <c r="K91" i="6"/>
  <c r="K119" i="6" s="1"/>
  <c r="M58" i="6"/>
  <c r="Y53" i="20" l="1"/>
  <c r="T122" i="21"/>
  <c r="Y101" i="6"/>
  <c r="Y108" i="6"/>
  <c r="AB108" i="6" s="1"/>
  <c r="Y113" i="6"/>
  <c r="Y114" i="6" s="1"/>
  <c r="M82" i="22"/>
  <c r="T104" i="21"/>
  <c r="T109" i="21" s="1"/>
  <c r="T93" i="21"/>
  <c r="S75" i="20"/>
  <c r="R94" i="20"/>
  <c r="V99" i="22"/>
  <c r="V100" i="22" s="1"/>
  <c r="V101" i="22" s="1"/>
  <c r="W97" i="22" s="1"/>
  <c r="Q53" i="22"/>
  <c r="T83" i="21"/>
  <c r="X114" i="6"/>
  <c r="K109" i="6"/>
  <c r="M61" i="6"/>
  <c r="K83" i="6"/>
  <c r="K93" i="6"/>
  <c r="W99" i="22" l="1"/>
  <c r="W101" i="22"/>
  <c r="X97" i="22" s="1"/>
  <c r="W100" i="22"/>
  <c r="M104" i="22"/>
  <c r="M109" i="22" s="1"/>
  <c r="M122" i="22" s="1"/>
  <c r="M93" i="22"/>
  <c r="Q58" i="22"/>
  <c r="Q61" i="22"/>
  <c r="AB113" i="6"/>
  <c r="AB114" i="6" s="1"/>
  <c r="Y58" i="20"/>
  <c r="Y61" i="20"/>
  <c r="U75" i="21"/>
  <c r="T94" i="21"/>
  <c r="V113" i="22"/>
  <c r="V114" i="22" s="1"/>
  <c r="V108" i="22"/>
  <c r="S80" i="20"/>
  <c r="S86" i="20"/>
  <c r="S118" i="20" s="1"/>
  <c r="M83" i="22"/>
  <c r="N53" i="6"/>
  <c r="L75" i="6"/>
  <c r="L80" i="6" s="1"/>
  <c r="K94" i="6"/>
  <c r="U80" i="21" l="1"/>
  <c r="U86" i="21"/>
  <c r="U118" i="21" s="1"/>
  <c r="R53" i="22"/>
  <c r="W113" i="22"/>
  <c r="W114" i="22" s="1"/>
  <c r="W108" i="22"/>
  <c r="N75" i="22"/>
  <c r="M94" i="22"/>
  <c r="X99" i="22"/>
  <c r="X100" i="22" s="1"/>
  <c r="S82" i="20"/>
  <c r="S91" i="20"/>
  <c r="S119" i="20" s="1"/>
  <c r="S120" i="20" s="1"/>
  <c r="L86" i="6"/>
  <c r="L118" i="6" s="1"/>
  <c r="N58" i="6"/>
  <c r="X101" i="22" l="1"/>
  <c r="Y97" i="22" s="1"/>
  <c r="X113" i="22"/>
  <c r="X114" i="22" s="1"/>
  <c r="X108" i="22"/>
  <c r="R58" i="22"/>
  <c r="R61" i="22" s="1"/>
  <c r="N80" i="22"/>
  <c r="N91" i="22" s="1"/>
  <c r="N119" i="22" s="1"/>
  <c r="N120" i="22" s="1"/>
  <c r="N82" i="22"/>
  <c r="N86" i="22"/>
  <c r="N118" i="22" s="1"/>
  <c r="U120" i="21"/>
  <c r="U82" i="21"/>
  <c r="U91" i="21"/>
  <c r="U119" i="21" s="1"/>
  <c r="S104" i="20"/>
  <c r="S109" i="20" s="1"/>
  <c r="S122" i="20" s="1"/>
  <c r="S93" i="20"/>
  <c r="S83" i="20"/>
  <c r="N61" i="6"/>
  <c r="L82" i="6"/>
  <c r="L104" i="6" s="1"/>
  <c r="L91" i="6"/>
  <c r="L119" i="6" s="1"/>
  <c r="S53" i="22" l="1"/>
  <c r="T75" i="20"/>
  <c r="S94" i="20"/>
  <c r="N104" i="22"/>
  <c r="N109" i="22" s="1"/>
  <c r="N122" i="22" s="1"/>
  <c r="N93" i="22"/>
  <c r="U122" i="21"/>
  <c r="U104" i="21"/>
  <c r="U109" i="21" s="1"/>
  <c r="U93" i="21"/>
  <c r="U83" i="21"/>
  <c r="N83" i="22"/>
  <c r="Y99" i="22"/>
  <c r="Y100" i="22" s="1"/>
  <c r="Y101" i="22" s="1"/>
  <c r="L109" i="6"/>
  <c r="L93" i="6"/>
  <c r="L83" i="6"/>
  <c r="O53" i="6"/>
  <c r="Y108" i="22" l="1"/>
  <c r="AB108" i="22" s="1"/>
  <c r="Y113" i="22"/>
  <c r="O75" i="22"/>
  <c r="N94" i="22"/>
  <c r="V75" i="21"/>
  <c r="U94" i="21"/>
  <c r="T80" i="20"/>
  <c r="T86" i="20"/>
  <c r="T118" i="20" s="1"/>
  <c r="S58" i="22"/>
  <c r="S61" i="22"/>
  <c r="O58" i="6"/>
  <c r="M75" i="6"/>
  <c r="M80" i="6" s="1"/>
  <c r="L94" i="6"/>
  <c r="V80" i="21" l="1"/>
  <c r="V91" i="21" s="1"/>
  <c r="V119" i="21" s="1"/>
  <c r="V82" i="21"/>
  <c r="V86" i="21"/>
  <c r="V118" i="21" s="1"/>
  <c r="V120" i="21" s="1"/>
  <c r="T82" i="20"/>
  <c r="T83" i="20" s="1"/>
  <c r="T91" i="20"/>
  <c r="T119" i="20" s="1"/>
  <c r="T53" i="22"/>
  <c r="O80" i="22"/>
  <c r="O91" i="22" s="1"/>
  <c r="O119" i="22" s="1"/>
  <c r="O120" i="22" s="1"/>
  <c r="O86" i="22"/>
  <c r="O118" i="22" s="1"/>
  <c r="Y114" i="22"/>
  <c r="AB113" i="22"/>
  <c r="AB114" i="22" s="1"/>
  <c r="T120" i="20"/>
  <c r="M91" i="6"/>
  <c r="M119" i="6" s="1"/>
  <c r="M86" i="6"/>
  <c r="M118" i="6" s="1"/>
  <c r="O61" i="6"/>
  <c r="U75" i="20" l="1"/>
  <c r="T94" i="20"/>
  <c r="T58" i="22"/>
  <c r="T104" i="20"/>
  <c r="T109" i="20" s="1"/>
  <c r="T122" i="20" s="1"/>
  <c r="T93" i="20"/>
  <c r="V122" i="21"/>
  <c r="V83" i="21"/>
  <c r="V104" i="21"/>
  <c r="V109" i="21" s="1"/>
  <c r="V93" i="21"/>
  <c r="O82" i="22"/>
  <c r="M82" i="6"/>
  <c r="M104" i="6" s="1"/>
  <c r="P53" i="6"/>
  <c r="O93" i="22" l="1"/>
  <c r="O104" i="22"/>
  <c r="O109" i="22" s="1"/>
  <c r="O122" i="22" s="1"/>
  <c r="T61" i="22"/>
  <c r="W75" i="21"/>
  <c r="V94" i="21"/>
  <c r="O83" i="22"/>
  <c r="U80" i="20"/>
  <c r="U91" i="20" s="1"/>
  <c r="U119" i="20" s="1"/>
  <c r="U86" i="20"/>
  <c r="U118" i="20" s="1"/>
  <c r="M93" i="6"/>
  <c r="M83" i="6"/>
  <c r="M94" i="6" s="1"/>
  <c r="M109" i="6"/>
  <c r="N75" i="6"/>
  <c r="N80" i="6" s="1"/>
  <c r="P58" i="6"/>
  <c r="W80" i="21" l="1"/>
  <c r="W91" i="21" s="1"/>
  <c r="W119" i="21" s="1"/>
  <c r="W82" i="21"/>
  <c r="W86" i="21"/>
  <c r="W118" i="21" s="1"/>
  <c r="W120" i="21" s="1"/>
  <c r="U53" i="22"/>
  <c r="P75" i="22"/>
  <c r="O94" i="22"/>
  <c r="U120" i="20"/>
  <c r="U82" i="20"/>
  <c r="U83" i="20"/>
  <c r="P61" i="6"/>
  <c r="N86" i="6"/>
  <c r="N118" i="6" s="1"/>
  <c r="U58" i="22" l="1"/>
  <c r="U61" i="22" s="1"/>
  <c r="P80" i="22"/>
  <c r="P91" i="22" s="1"/>
  <c r="P119" i="22" s="1"/>
  <c r="P82" i="22"/>
  <c r="P86" i="22"/>
  <c r="P118" i="22" s="1"/>
  <c r="W104" i="21"/>
  <c r="W109" i="21" s="1"/>
  <c r="W122" i="21" s="1"/>
  <c r="W93" i="21"/>
  <c r="V75" i="20"/>
  <c r="U94" i="20"/>
  <c r="W83" i="21"/>
  <c r="U104" i="20"/>
  <c r="U109" i="20" s="1"/>
  <c r="U122" i="20" s="1"/>
  <c r="U93" i="20"/>
  <c r="N82" i="6"/>
  <c r="N104" i="6" s="1"/>
  <c r="N91" i="6"/>
  <c r="N119" i="6" s="1"/>
  <c r="Q53" i="6"/>
  <c r="V53" i="22" l="1"/>
  <c r="P120" i="22"/>
  <c r="P104" i="22"/>
  <c r="P109" i="22" s="1"/>
  <c r="P122" i="22" s="1"/>
  <c r="P93" i="22"/>
  <c r="V80" i="20"/>
  <c r="V86" i="20"/>
  <c r="V118" i="20" s="1"/>
  <c r="P83" i="22"/>
  <c r="X75" i="21"/>
  <c r="W94" i="21"/>
  <c r="N109" i="6"/>
  <c r="Q58" i="6"/>
  <c r="N83" i="6"/>
  <c r="N93" i="6"/>
  <c r="V82" i="20" l="1"/>
  <c r="V91" i="20"/>
  <c r="V119" i="20" s="1"/>
  <c r="V120" i="20" s="1"/>
  <c r="X80" i="21"/>
  <c r="X91" i="21" s="1"/>
  <c r="X119" i="21" s="1"/>
  <c r="X82" i="21"/>
  <c r="X86" i="21"/>
  <c r="X118" i="21" s="1"/>
  <c r="X120" i="21" s="1"/>
  <c r="Q75" i="22"/>
  <c r="P94" i="22"/>
  <c r="V58" i="22"/>
  <c r="O75" i="6"/>
  <c r="O80" i="6" s="1"/>
  <c r="N94" i="6"/>
  <c r="Q61" i="6"/>
  <c r="Q80" i="22" l="1"/>
  <c r="Q91" i="22" s="1"/>
  <c r="Q119" i="22" s="1"/>
  <c r="Q82" i="22"/>
  <c r="Q83" i="22" s="1"/>
  <c r="Q86" i="22"/>
  <c r="Q118" i="22" s="1"/>
  <c r="Q120" i="22" s="1"/>
  <c r="X83" i="21"/>
  <c r="X104" i="21"/>
  <c r="X109" i="21" s="1"/>
  <c r="X122" i="21" s="1"/>
  <c r="X93" i="21"/>
  <c r="V104" i="20"/>
  <c r="V109" i="20" s="1"/>
  <c r="V122" i="20" s="1"/>
  <c r="V93" i="20"/>
  <c r="V61" i="22"/>
  <c r="V83" i="20"/>
  <c r="R53" i="6"/>
  <c r="O86" i="6"/>
  <c r="O118" i="6" s="1"/>
  <c r="R75" i="22" l="1"/>
  <c r="Q94" i="22"/>
  <c r="Y75" i="21"/>
  <c r="X94" i="21"/>
  <c r="Q104" i="22"/>
  <c r="Q109" i="22" s="1"/>
  <c r="Q122" i="22" s="1"/>
  <c r="Q93" i="22"/>
  <c r="W75" i="20"/>
  <c r="V94" i="20"/>
  <c r="W53" i="22"/>
  <c r="O82" i="6"/>
  <c r="O104" i="6" s="1"/>
  <c r="O91" i="6"/>
  <c r="O119" i="6" s="1"/>
  <c r="R58" i="6"/>
  <c r="W80" i="20" l="1"/>
  <c r="W86" i="20"/>
  <c r="W118" i="20" s="1"/>
  <c r="Y80" i="21"/>
  <c r="Y86" i="21"/>
  <c r="Y118" i="21" s="1"/>
  <c r="W58" i="22"/>
  <c r="R80" i="22"/>
  <c r="R91" i="22" s="1"/>
  <c r="R119" i="22" s="1"/>
  <c r="R82" i="22"/>
  <c r="R86" i="22"/>
  <c r="R118" i="22" s="1"/>
  <c r="O109" i="6"/>
  <c r="R61" i="6"/>
  <c r="O93" i="6"/>
  <c r="O83" i="6"/>
  <c r="AC122" i="21" l="1"/>
  <c r="AB118" i="21"/>
  <c r="AB120" i="21" s="1"/>
  <c r="R104" i="22"/>
  <c r="R109" i="22" s="1"/>
  <c r="R122" i="22" s="1"/>
  <c r="R93" i="22"/>
  <c r="Y82" i="21"/>
  <c r="Y91" i="21"/>
  <c r="Y119" i="21" s="1"/>
  <c r="AB119" i="21" s="1"/>
  <c r="R120" i="22"/>
  <c r="W61" i="22"/>
  <c r="R83" i="22"/>
  <c r="W82" i="20"/>
  <c r="W91" i="20"/>
  <c r="W119" i="20" s="1"/>
  <c r="W120" i="20" s="1"/>
  <c r="P75" i="6"/>
  <c r="P80" i="6" s="1"/>
  <c r="O94" i="6"/>
  <c r="S53" i="6"/>
  <c r="Y104" i="21" l="1"/>
  <c r="Y93" i="21"/>
  <c r="S75" i="22"/>
  <c r="R94" i="22"/>
  <c r="W104" i="20"/>
  <c r="W109" i="20" s="1"/>
  <c r="W122" i="20" s="1"/>
  <c r="W93" i="20"/>
  <c r="X53" i="22"/>
  <c r="Y120" i="21"/>
  <c r="W83" i="20"/>
  <c r="Y83" i="21"/>
  <c r="Y94" i="21" s="1"/>
  <c r="S58" i="6"/>
  <c r="P91" i="6"/>
  <c r="P119" i="6" s="1"/>
  <c r="P86" i="6"/>
  <c r="P118" i="6" s="1"/>
  <c r="S80" i="22" l="1"/>
  <c r="S91" i="22" s="1"/>
  <c r="S119" i="22" s="1"/>
  <c r="S82" i="22"/>
  <c r="S86" i="22"/>
  <c r="S118" i="22" s="1"/>
  <c r="X75" i="20"/>
  <c r="W94" i="20"/>
  <c r="Y122" i="21"/>
  <c r="X58" i="22"/>
  <c r="Y109" i="21"/>
  <c r="AB104" i="21"/>
  <c r="AB109" i="21" s="1"/>
  <c r="AB122" i="21" s="1"/>
  <c r="AD122" i="21" s="1"/>
  <c r="P82" i="6"/>
  <c r="P104" i="6" s="1"/>
  <c r="S61" i="6"/>
  <c r="X80" i="20" l="1"/>
  <c r="X91" i="20" s="1"/>
  <c r="X119" i="20" s="1"/>
  <c r="X86" i="20"/>
  <c r="X118" i="20" s="1"/>
  <c r="X120" i="20" s="1"/>
  <c r="S104" i="22"/>
  <c r="S109" i="22" s="1"/>
  <c r="S122" i="22" s="1"/>
  <c r="S93" i="22"/>
  <c r="S83" i="22"/>
  <c r="X61" i="22"/>
  <c r="S120" i="22"/>
  <c r="P109" i="6"/>
  <c r="P93" i="6"/>
  <c r="P83" i="6"/>
  <c r="P94" i="6" s="1"/>
  <c r="T53" i="6"/>
  <c r="T75" i="22" l="1"/>
  <c r="S94" i="22"/>
  <c r="X82" i="20"/>
  <c r="X83" i="20"/>
  <c r="Y53" i="22"/>
  <c r="Q75" i="6"/>
  <c r="T58" i="6"/>
  <c r="Y58" i="22" l="1"/>
  <c r="Y61" i="22" s="1"/>
  <c r="Y75" i="20"/>
  <c r="X94" i="20"/>
  <c r="X104" i="20"/>
  <c r="X109" i="20" s="1"/>
  <c r="X122" i="20" s="1"/>
  <c r="X93" i="20"/>
  <c r="T80" i="22"/>
  <c r="T91" i="22" s="1"/>
  <c r="T119" i="22" s="1"/>
  <c r="T120" i="22" s="1"/>
  <c r="T86" i="22"/>
  <c r="T118" i="22" s="1"/>
  <c r="Q80" i="6"/>
  <c r="Q91" i="6" s="1"/>
  <c r="Q119" i="6" s="1"/>
  <c r="Q86" i="6"/>
  <c r="Q118" i="6" s="1"/>
  <c r="T61" i="6"/>
  <c r="Y80" i="20" l="1"/>
  <c r="Y86" i="20"/>
  <c r="Y118" i="20" s="1"/>
  <c r="T82" i="22"/>
  <c r="Q82" i="6"/>
  <c r="Q104" i="6" s="1"/>
  <c r="Q109" i="6" s="1"/>
  <c r="U53" i="6"/>
  <c r="AC122" i="20" l="1"/>
  <c r="AB118" i="20"/>
  <c r="T83" i="22"/>
  <c r="T104" i="22"/>
  <c r="T109" i="22" s="1"/>
  <c r="T122" i="22" s="1"/>
  <c r="T93" i="22"/>
  <c r="Q93" i="6"/>
  <c r="Q83" i="6"/>
  <c r="Y82" i="20"/>
  <c r="Y91" i="20"/>
  <c r="Y119" i="20" s="1"/>
  <c r="AB119" i="20" s="1"/>
  <c r="R75" i="6"/>
  <c r="R80" i="6" s="1"/>
  <c r="Q94" i="6"/>
  <c r="U58" i="6"/>
  <c r="U75" i="22" l="1"/>
  <c r="T94" i="22"/>
  <c r="Y120" i="20"/>
  <c r="AB120" i="20"/>
  <c r="Y104" i="20"/>
  <c r="Y93" i="20"/>
  <c r="Y83" i="20"/>
  <c r="Y94" i="20" s="1"/>
  <c r="U61" i="6"/>
  <c r="R86" i="6"/>
  <c r="R118" i="6" s="1"/>
  <c r="Y109" i="20" l="1"/>
  <c r="Y122" i="20" s="1"/>
  <c r="AB104" i="20"/>
  <c r="AB109" i="20" s="1"/>
  <c r="AB122" i="20" s="1"/>
  <c r="AD122" i="20" s="1"/>
  <c r="U80" i="22"/>
  <c r="U91" i="22" s="1"/>
  <c r="U119" i="22" s="1"/>
  <c r="U82" i="22"/>
  <c r="U86" i="22"/>
  <c r="U118" i="22" s="1"/>
  <c r="U120" i="22" s="1"/>
  <c r="R82" i="6"/>
  <c r="R104" i="6" s="1"/>
  <c r="R91" i="6"/>
  <c r="R119" i="6" s="1"/>
  <c r="V53" i="6"/>
  <c r="U83" i="22" l="1"/>
  <c r="U104" i="22"/>
  <c r="U109" i="22" s="1"/>
  <c r="U122" i="22" s="1"/>
  <c r="U93" i="22"/>
  <c r="R109" i="6"/>
  <c r="V58" i="6"/>
  <c r="R93" i="6"/>
  <c r="R83" i="6"/>
  <c r="F120" i="6"/>
  <c r="F124" i="6" s="1"/>
  <c r="V75" i="22" l="1"/>
  <c r="U94" i="22"/>
  <c r="F124" i="22"/>
  <c r="F125" i="22" s="1"/>
  <c r="F124" i="21"/>
  <c r="F125" i="21" s="1"/>
  <c r="F124" i="20"/>
  <c r="F125" i="20" s="1"/>
  <c r="S75" i="6"/>
  <c r="S80" i="6" s="1"/>
  <c r="R94" i="6"/>
  <c r="V61" i="6"/>
  <c r="F122" i="6"/>
  <c r="V80" i="22" l="1"/>
  <c r="V91" i="22" s="1"/>
  <c r="V119" i="22" s="1"/>
  <c r="V82" i="22"/>
  <c r="V86" i="22"/>
  <c r="V118" i="22" s="1"/>
  <c r="V120" i="22" s="1"/>
  <c r="W53" i="6"/>
  <c r="S86" i="6"/>
  <c r="S118" i="6" s="1"/>
  <c r="G120" i="6"/>
  <c r="V104" i="22" l="1"/>
  <c r="V109" i="22" s="1"/>
  <c r="V122" i="22" s="1"/>
  <c r="V93" i="22"/>
  <c r="V83" i="22"/>
  <c r="G124" i="6"/>
  <c r="G122" i="6"/>
  <c r="S82" i="6"/>
  <c r="S104" i="6" s="1"/>
  <c r="S91" i="6"/>
  <c r="S119" i="6" s="1"/>
  <c r="W58" i="6"/>
  <c r="W75" i="22" l="1"/>
  <c r="V94" i="22"/>
  <c r="S109" i="6"/>
  <c r="G124" i="22"/>
  <c r="G125" i="22" s="1"/>
  <c r="G124" i="20"/>
  <c r="G125" i="20" s="1"/>
  <c r="G124" i="21"/>
  <c r="G125" i="21" s="1"/>
  <c r="W61" i="6"/>
  <c r="S93" i="6"/>
  <c r="S83" i="6"/>
  <c r="H120" i="6"/>
  <c r="W80" i="22" l="1"/>
  <c r="W91" i="22" s="1"/>
  <c r="W119" i="22" s="1"/>
  <c r="W82" i="22"/>
  <c r="W86" i="22"/>
  <c r="W118" i="22" s="1"/>
  <c r="H122" i="6"/>
  <c r="H124" i="6"/>
  <c r="T75" i="6"/>
  <c r="T80" i="6" s="1"/>
  <c r="S94" i="6"/>
  <c r="X53" i="6"/>
  <c r="W104" i="22" l="1"/>
  <c r="W109" i="22" s="1"/>
  <c r="W93" i="22"/>
  <c r="W83" i="22"/>
  <c r="W120" i="22"/>
  <c r="H124" i="22"/>
  <c r="H125" i="22" s="1"/>
  <c r="H124" i="21"/>
  <c r="H125" i="21" s="1"/>
  <c r="H124" i="20"/>
  <c r="H125" i="20" s="1"/>
  <c r="X58" i="6"/>
  <c r="T91" i="6"/>
  <c r="T119" i="6" s="1"/>
  <c r="T86" i="6"/>
  <c r="T118" i="6" s="1"/>
  <c r="X75" i="22" l="1"/>
  <c r="W94" i="22"/>
  <c r="W122" i="22"/>
  <c r="T82" i="6"/>
  <c r="T104" i="6" s="1"/>
  <c r="X61" i="6"/>
  <c r="I120" i="6"/>
  <c r="I124" i="6" s="1"/>
  <c r="X80" i="22" l="1"/>
  <c r="X91" i="22" s="1"/>
  <c r="X119" i="22" s="1"/>
  <c r="X82" i="22"/>
  <c r="X86" i="22"/>
  <c r="X118" i="22" s="1"/>
  <c r="I124" i="22"/>
  <c r="I125" i="22" s="1"/>
  <c r="I124" i="21"/>
  <c r="I125" i="21" s="1"/>
  <c r="I124" i="20"/>
  <c r="I125" i="20" s="1"/>
  <c r="T109" i="6"/>
  <c r="Y53" i="6"/>
  <c r="T83" i="6"/>
  <c r="T93" i="6"/>
  <c r="J120" i="6"/>
  <c r="I122" i="6"/>
  <c r="X83" i="22" l="1"/>
  <c r="X104" i="22"/>
  <c r="X109" i="22" s="1"/>
  <c r="X93" i="22"/>
  <c r="X120" i="22"/>
  <c r="J122" i="6"/>
  <c r="J124" i="6"/>
  <c r="U75" i="6"/>
  <c r="U80" i="6" s="1"/>
  <c r="T94" i="6"/>
  <c r="Y58" i="6"/>
  <c r="X122" i="22" l="1"/>
  <c r="Y75" i="22"/>
  <c r="X94" i="22"/>
  <c r="J124" i="22"/>
  <c r="J125" i="22" s="1"/>
  <c r="J124" i="21"/>
  <c r="J125" i="21" s="1"/>
  <c r="J124" i="20"/>
  <c r="J125" i="20" s="1"/>
  <c r="Y61" i="6"/>
  <c r="U91" i="6"/>
  <c r="U119" i="6" s="1"/>
  <c r="U82" i="6"/>
  <c r="U104" i="6" s="1"/>
  <c r="U86" i="6"/>
  <c r="U118" i="6" s="1"/>
  <c r="K120" i="6"/>
  <c r="K124" i="6" s="1"/>
  <c r="Y80" i="22" l="1"/>
  <c r="Y91" i="22" s="1"/>
  <c r="Y119" i="22" s="1"/>
  <c r="AB119" i="22" s="1"/>
  <c r="Y83" i="22"/>
  <c r="Y94" i="22" s="1"/>
  <c r="Y82" i="22"/>
  <c r="Y86" i="22"/>
  <c r="Y118" i="22" s="1"/>
  <c r="K124" i="22"/>
  <c r="K125" i="22" s="1"/>
  <c r="K124" i="20"/>
  <c r="K125" i="20" s="1"/>
  <c r="K124" i="21"/>
  <c r="K125" i="21" s="1"/>
  <c r="U109" i="6"/>
  <c r="U83" i="6"/>
  <c r="U93" i="6"/>
  <c r="K122" i="6"/>
  <c r="Y120" i="22" l="1"/>
  <c r="AC122" i="22"/>
  <c r="AB118" i="22"/>
  <c r="AB120" i="22" s="1"/>
  <c r="Y104" i="22"/>
  <c r="Y93" i="22"/>
  <c r="V75" i="6"/>
  <c r="V80" i="6" s="1"/>
  <c r="U94" i="6"/>
  <c r="L120" i="6"/>
  <c r="Y109" i="22" l="1"/>
  <c r="Y122" i="22" s="1"/>
  <c r="AB104" i="22"/>
  <c r="AB109" i="22" s="1"/>
  <c r="AB122" i="22" s="1"/>
  <c r="AD122" i="22" s="1"/>
  <c r="L122" i="6"/>
  <c r="L124" i="6"/>
  <c r="V91" i="6"/>
  <c r="V119" i="6" s="1"/>
  <c r="V86" i="6"/>
  <c r="V118" i="6" s="1"/>
  <c r="V82" i="6" l="1"/>
  <c r="L124" i="22"/>
  <c r="L125" i="22" s="1"/>
  <c r="L124" i="21"/>
  <c r="L125" i="21" s="1"/>
  <c r="L124" i="20"/>
  <c r="L125" i="20" s="1"/>
  <c r="V93" i="6"/>
  <c r="V104" i="6"/>
  <c r="V83" i="6"/>
  <c r="M120" i="6"/>
  <c r="M122" i="6" l="1"/>
  <c r="M124" i="6"/>
  <c r="V109" i="6"/>
  <c r="W75" i="6"/>
  <c r="W80" i="6" s="1"/>
  <c r="V94" i="6"/>
  <c r="M124" i="22" l="1"/>
  <c r="M125" i="22" s="1"/>
  <c r="M124" i="21"/>
  <c r="M125" i="21" s="1"/>
  <c r="M124" i="20"/>
  <c r="M125" i="20" s="1"/>
  <c r="W91" i="6"/>
  <c r="W119" i="6" s="1"/>
  <c r="W86" i="6"/>
  <c r="W118" i="6" s="1"/>
  <c r="N120" i="6"/>
  <c r="N122" i="6" l="1"/>
  <c r="N124" i="6"/>
  <c r="W82" i="6"/>
  <c r="W104" i="6" s="1"/>
  <c r="W109" i="6" l="1"/>
  <c r="W93" i="6"/>
  <c r="N124" i="22"/>
  <c r="N125" i="22" s="1"/>
  <c r="N124" i="21"/>
  <c r="N125" i="21" s="1"/>
  <c r="N124" i="20"/>
  <c r="N125" i="20" s="1"/>
  <c r="W83" i="6"/>
  <c r="W94" i="6" s="1"/>
  <c r="O120" i="6"/>
  <c r="O124" i="6" s="1"/>
  <c r="X75" i="6" l="1"/>
  <c r="X80" i="6" s="1"/>
  <c r="O124" i="22"/>
  <c r="O125" i="22" s="1"/>
  <c r="O124" i="20"/>
  <c r="O125" i="20" s="1"/>
  <c r="O124" i="21"/>
  <c r="O125" i="21" s="1"/>
  <c r="X91" i="6"/>
  <c r="X119" i="6" s="1"/>
  <c r="X82" i="6"/>
  <c r="X104" i="6" s="1"/>
  <c r="X86" i="6"/>
  <c r="X118" i="6" s="1"/>
  <c r="O122" i="6"/>
  <c r="X109" i="6" l="1"/>
  <c r="X83" i="6"/>
  <c r="X93" i="6"/>
  <c r="P120" i="6"/>
  <c r="P124" i="6" s="1"/>
  <c r="P124" i="22" l="1"/>
  <c r="P125" i="22" s="1"/>
  <c r="P124" i="21"/>
  <c r="P125" i="21" s="1"/>
  <c r="P124" i="20"/>
  <c r="P125" i="20" s="1"/>
  <c r="Y75" i="6"/>
  <c r="Y80" i="6" s="1"/>
  <c r="X94" i="6"/>
  <c r="P122" i="6"/>
  <c r="Y91" i="6" l="1"/>
  <c r="Y119" i="6" s="1"/>
  <c r="Y82" i="6"/>
  <c r="Y104" i="6" s="1"/>
  <c r="Y86" i="6"/>
  <c r="Y118" i="6" s="1"/>
  <c r="Q120" i="6"/>
  <c r="Q122" i="6" l="1"/>
  <c r="Q124" i="6"/>
  <c r="Y109" i="6"/>
  <c r="Y83" i="6"/>
  <c r="Y94" i="6" s="1"/>
  <c r="Y93" i="6"/>
  <c r="Q124" i="22" l="1"/>
  <c r="Q125" i="22" s="1"/>
  <c r="Q124" i="21"/>
  <c r="Q125" i="21" s="1"/>
  <c r="Q124" i="20"/>
  <c r="Q125" i="20" s="1"/>
  <c r="R120" i="6"/>
  <c r="R122" i="6" l="1"/>
  <c r="R124" i="6"/>
  <c r="S120" i="6"/>
  <c r="S122" i="6" l="1"/>
  <c r="S124" i="6"/>
  <c r="R124" i="22"/>
  <c r="R125" i="22" s="1"/>
  <c r="R124" i="21"/>
  <c r="R125" i="21" s="1"/>
  <c r="R124" i="20"/>
  <c r="R125" i="20" s="1"/>
  <c r="T120" i="6"/>
  <c r="T124" i="6" s="1"/>
  <c r="S124" i="22" l="1"/>
  <c r="S125" i="22" s="1"/>
  <c r="S124" i="20"/>
  <c r="S125" i="20" s="1"/>
  <c r="S124" i="21"/>
  <c r="S125" i="21" s="1"/>
  <c r="T124" i="22"/>
  <c r="T125" i="22" s="1"/>
  <c r="T124" i="21"/>
  <c r="T125" i="21" s="1"/>
  <c r="T124" i="20"/>
  <c r="T125" i="20" s="1"/>
  <c r="T122" i="6"/>
  <c r="U120" i="6" l="1"/>
  <c r="U124" i="6" s="1"/>
  <c r="U124" i="22" l="1"/>
  <c r="U125" i="22" s="1"/>
  <c r="U124" i="21"/>
  <c r="U125" i="21" s="1"/>
  <c r="U124" i="20"/>
  <c r="U125" i="20" s="1"/>
  <c r="U122" i="6"/>
  <c r="V120" i="6" l="1"/>
  <c r="V124" i="6" s="1"/>
  <c r="V124" i="22" l="1"/>
  <c r="V125" i="22" s="1"/>
  <c r="V124" i="21"/>
  <c r="V125" i="21" s="1"/>
  <c r="V124" i="20"/>
  <c r="V125" i="20" s="1"/>
  <c r="V122" i="6"/>
  <c r="W120" i="6" l="1"/>
  <c r="W122" i="6" l="1"/>
  <c r="W124" i="6"/>
  <c r="X120" i="6"/>
  <c r="X124" i="6" s="1"/>
  <c r="X124" i="22" l="1"/>
  <c r="X125" i="22" s="1"/>
  <c r="X124" i="21"/>
  <c r="X125" i="21" s="1"/>
  <c r="X124" i="20"/>
  <c r="X125" i="20" s="1"/>
  <c r="W124" i="22"/>
  <c r="W125" i="22" s="1"/>
  <c r="W124" i="20"/>
  <c r="W125" i="20" s="1"/>
  <c r="W124" i="21"/>
  <c r="W125" i="21" s="1"/>
  <c r="X122" i="6"/>
  <c r="AB104" i="6" l="1"/>
  <c r="AB109" i="6" s="1"/>
  <c r="Y120" i="6" l="1"/>
  <c r="Y124" i="6" s="1"/>
  <c r="AB118" i="6"/>
  <c r="AB119" i="6"/>
  <c r="AC122" i="6"/>
  <c r="Y124" i="22" l="1"/>
  <c r="Y125" i="22" s="1"/>
  <c r="Y124" i="21"/>
  <c r="Y125" i="21" s="1"/>
  <c r="Y124" i="20"/>
  <c r="Y125" i="20" s="1"/>
  <c r="Y122" i="6"/>
  <c r="AB120" i="6"/>
  <c r="AB122" i="6" l="1"/>
  <c r="AD1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300-000001000000}">
      <text>
        <r>
          <rPr>
            <b/>
            <sz val="9"/>
            <color indexed="81"/>
            <rFont val="Tahoma"/>
            <family val="2"/>
          </rPr>
          <t>initial recognition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400-000001000000}">
      <text>
        <r>
          <rPr>
            <b/>
            <sz val="9"/>
            <color indexed="81"/>
            <rFont val="Tahoma"/>
            <family val="2"/>
          </rPr>
          <t>initial recognition</t>
        </r>
        <r>
          <rPr>
            <sz val="9"/>
            <color indexed="81"/>
            <rFont val="Tahoma"/>
            <family val="2"/>
          </rPr>
          <t xml:space="preserve">
</t>
        </r>
      </text>
    </comment>
    <comment ref="H23" authorId="0" shapeId="0" xr:uid="{00000000-0006-0000-0400-000002000000}">
      <text>
        <r>
          <rPr>
            <b/>
            <sz val="9"/>
            <color indexed="81"/>
            <rFont val="Tahoma"/>
            <family val="2"/>
          </rPr>
          <t>actual expenses up $5 starting year 3</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500-000001000000}">
      <text>
        <r>
          <rPr>
            <b/>
            <sz val="9"/>
            <color indexed="81"/>
            <rFont val="Tahoma"/>
            <family val="2"/>
          </rPr>
          <t>initial recognition</t>
        </r>
        <r>
          <rPr>
            <sz val="9"/>
            <color indexed="81"/>
            <rFont val="Tahoma"/>
            <family val="2"/>
          </rPr>
          <t xml:space="preserve">
</t>
        </r>
      </text>
    </comment>
    <comment ref="H23" authorId="0" shapeId="0" xr:uid="{00000000-0006-0000-0500-000002000000}">
      <text>
        <r>
          <rPr>
            <b/>
            <sz val="9"/>
            <color indexed="81"/>
            <rFont val="Tahoma"/>
            <family val="2"/>
          </rPr>
          <t>actual expenses up $5 starting year 3</t>
        </r>
        <r>
          <rPr>
            <sz val="9"/>
            <color indexed="81"/>
            <rFont val="Tahoma"/>
            <family val="2"/>
          </rPr>
          <t xml:space="preserve">
</t>
        </r>
      </text>
    </comment>
    <comment ref="J55" authorId="0" shapeId="0" xr:uid="{00000000-0006-0000-0500-000003000000}">
      <text>
        <r>
          <rPr>
            <b/>
            <sz val="9"/>
            <color indexed="81"/>
            <rFont val="Tahoma"/>
            <family val="2"/>
          </rPr>
          <t>Assumption change at end of year 5</t>
        </r>
        <r>
          <rPr>
            <sz val="9"/>
            <color indexed="81"/>
            <rFont val="Tahoma"/>
            <family val="2"/>
          </rPr>
          <t xml:space="preserve">
</t>
        </r>
      </text>
    </comment>
    <comment ref="J57" authorId="0" shapeId="0" xr:uid="{00000000-0006-0000-0500-000004000000}">
      <text>
        <r>
          <rPr>
            <b/>
            <sz val="9"/>
            <color indexed="81"/>
            <rFont val="Tahoma"/>
            <family val="2"/>
          </rPr>
          <t>Expected here is still on the old basis as the assumption change was made at EOY</t>
        </r>
        <r>
          <rPr>
            <sz val="9"/>
            <color indexed="81"/>
            <rFont val="Tahoma"/>
            <family val="2"/>
          </rPr>
          <t xml:space="preserve">
</t>
        </r>
      </text>
    </comment>
    <comment ref="K57" authorId="0" shapeId="0" xr:uid="{00000000-0006-0000-0500-000005000000}">
      <text>
        <r>
          <rPr>
            <b/>
            <sz val="9"/>
            <color indexed="81"/>
            <rFont val="Tahoma"/>
            <family val="2"/>
          </rPr>
          <t>Expected is changed after assumption change</t>
        </r>
        <r>
          <rPr>
            <sz val="9"/>
            <color indexed="81"/>
            <rFont val="Tahoma"/>
            <family val="2"/>
          </rPr>
          <t xml:space="preserve">
</t>
        </r>
      </text>
    </comment>
    <comment ref="J77" authorId="0" shapeId="0" xr:uid="{00000000-0006-0000-0500-000006000000}">
      <text>
        <r>
          <rPr>
            <b/>
            <sz val="9"/>
            <color indexed="81"/>
            <rFont val="Tahoma"/>
            <family val="2"/>
          </rPr>
          <t>CSM has room to absorb the assumption change</t>
        </r>
        <r>
          <rPr>
            <sz val="9"/>
            <color indexed="81"/>
            <rFont val="Tahoma"/>
            <family val="2"/>
          </rPr>
          <t xml:space="preserve">
</t>
        </r>
      </text>
    </comment>
    <comment ref="J80" authorId="0" shapeId="0" xr:uid="{00000000-0006-0000-0500-000007000000}">
      <text>
        <r>
          <rPr>
            <b/>
            <sz val="9"/>
            <color indexed="81"/>
            <rFont val="Tahoma"/>
            <family val="2"/>
          </rPr>
          <t>assumption change is at EOY so it doesn't affect the accretion of interest</t>
        </r>
        <r>
          <rPr>
            <sz val="9"/>
            <color indexed="81"/>
            <rFont val="Tahoma"/>
            <family val="2"/>
          </rPr>
          <t xml:space="preserve">
</t>
        </r>
      </text>
    </comment>
    <comment ref="J82" authorId="0" shapeId="0" xr:uid="{00000000-0006-0000-0500-000008000000}">
      <text>
        <r>
          <rPr>
            <b/>
            <sz val="9"/>
            <color indexed="81"/>
            <rFont val="Tahoma"/>
            <family val="2"/>
          </rPr>
          <t>CSM release is calculated at the very end of the year so it includes the assumption change</t>
        </r>
        <r>
          <rPr>
            <sz val="9"/>
            <color indexed="81"/>
            <rFont val="Tahoma"/>
            <family val="2"/>
          </rPr>
          <t xml:space="preserve">
</t>
        </r>
      </text>
    </comment>
    <comment ref="J88" authorId="0" shapeId="0" xr:uid="{00000000-0006-0000-0500-000009000000}">
      <text>
        <r>
          <rPr>
            <b/>
            <sz val="9"/>
            <color indexed="81"/>
            <rFont val="Tahoma"/>
            <family val="2"/>
          </rPr>
          <t>At the total level there is no effect, just a shift between BEL and CSM</t>
        </r>
        <r>
          <rPr>
            <sz val="9"/>
            <color indexed="81"/>
            <rFont val="Tahoma"/>
            <family val="2"/>
          </rPr>
          <t xml:space="preserve">
</t>
        </r>
      </text>
    </comment>
    <comment ref="K112" authorId="0" shapeId="0" xr:uid="{00000000-0006-0000-0500-00000A000000}">
      <text>
        <r>
          <rPr>
            <b/>
            <sz val="9"/>
            <color indexed="81"/>
            <rFont val="Tahoma"/>
            <family val="2"/>
          </rPr>
          <t>will now match Expected after the assumption change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600-000001000000}">
      <text>
        <r>
          <rPr>
            <b/>
            <sz val="9"/>
            <color indexed="81"/>
            <rFont val="Tahoma"/>
            <family val="2"/>
          </rPr>
          <t>initial recognition</t>
        </r>
        <r>
          <rPr>
            <sz val="9"/>
            <color indexed="81"/>
            <rFont val="Tahoma"/>
            <family val="2"/>
          </rPr>
          <t xml:space="preserve">
</t>
        </r>
      </text>
    </comment>
    <comment ref="O19" authorId="0" shapeId="0" xr:uid="{00000000-0006-0000-0600-000002000000}">
      <text>
        <r>
          <rPr>
            <b/>
            <sz val="9"/>
            <color indexed="81"/>
            <rFont val="Tahoma"/>
            <family val="2"/>
          </rPr>
          <t>while the experience plays out as expected beyond year 9, the experience variance in year 9 affects all future CFs</t>
        </r>
        <r>
          <rPr>
            <sz val="9"/>
            <color indexed="81"/>
            <rFont val="Tahoma"/>
            <family val="2"/>
          </rPr>
          <t xml:space="preserve">
</t>
        </r>
      </text>
    </comment>
    <comment ref="O33" authorId="0" shapeId="0" xr:uid="{00000000-0006-0000-0600-000003000000}">
      <text>
        <r>
          <rPr>
            <b/>
            <sz val="9"/>
            <color indexed="81"/>
            <rFont val="Tahoma"/>
            <family val="2"/>
          </rPr>
          <t>Risk Adjustment CFs are affected by the change in lapses even though the Risk Adjustment assumption itself was not changed</t>
        </r>
        <r>
          <rPr>
            <sz val="9"/>
            <color indexed="81"/>
            <rFont val="Tahoma"/>
            <family val="2"/>
          </rPr>
          <t xml:space="preserve">
</t>
        </r>
      </text>
    </comment>
    <comment ref="N38" authorId="0" shapeId="0" xr:uid="{00000000-0006-0000-0600-000004000000}">
      <text>
        <r>
          <rPr>
            <b/>
            <sz val="9"/>
            <color indexed="81"/>
            <rFont val="Tahoma"/>
            <family val="2"/>
          </rPr>
          <t>Lapse experience in year 9 affects future cashflows</t>
        </r>
        <r>
          <rPr>
            <sz val="9"/>
            <color indexed="81"/>
            <rFont val="Tahoma"/>
            <family val="2"/>
          </rPr>
          <t xml:space="preserve">
</t>
        </r>
      </text>
    </comment>
    <comment ref="N59" authorId="0" shapeId="0" xr:uid="{00000000-0006-0000-0600-000005000000}">
      <text>
        <r>
          <rPr>
            <b/>
            <sz val="9"/>
            <color indexed="81"/>
            <rFont val="Tahoma"/>
            <family val="2"/>
          </rPr>
          <t>the lapse impact on the number of lives impacts the future CFs.  This isn't an assumption change</t>
        </r>
        <r>
          <rPr>
            <sz val="9"/>
            <color indexed="81"/>
            <rFont val="Tahoma"/>
            <family val="2"/>
          </rPr>
          <t xml:space="preserve">
</t>
        </r>
      </text>
    </comment>
    <comment ref="N70" authorId="0" shapeId="0" xr:uid="{00000000-0006-0000-0600-000006000000}">
      <text>
        <r>
          <rPr>
            <b/>
            <sz val="9"/>
            <color indexed="81"/>
            <rFont val="Tahoma"/>
            <family val="2"/>
          </rPr>
          <t>the lapse impact on the number of lives impacts the future CFs.  This isn't an assumption change</t>
        </r>
        <r>
          <rPr>
            <sz val="9"/>
            <color indexed="81"/>
            <rFont val="Tahoma"/>
            <family val="2"/>
          </rPr>
          <t xml:space="preserve">
</t>
        </r>
      </text>
    </comment>
    <comment ref="N71" authorId="0" shapeId="0" xr:uid="{00000000-0006-0000-0600-000007000000}">
      <text>
        <r>
          <rPr>
            <b/>
            <sz val="9"/>
            <color indexed="81"/>
            <rFont val="Tahoma"/>
            <family val="2"/>
          </rPr>
          <t>Release is based on expected CFs, won't show change until year 10</t>
        </r>
        <r>
          <rPr>
            <sz val="9"/>
            <color indexed="81"/>
            <rFont val="Tahoma"/>
            <family val="2"/>
          </rPr>
          <t xml:space="preserve">
</t>
        </r>
      </text>
    </comment>
    <comment ref="N81" authorId="0" shapeId="0" xr:uid="{00000000-0006-0000-0600-000008000000}">
      <text>
        <r>
          <rPr>
            <b/>
            <sz val="9"/>
            <color indexed="81"/>
            <rFont val="Tahoma"/>
            <family val="2"/>
          </rPr>
          <t>CSM has room to absorb the experience adjustment</t>
        </r>
        <r>
          <rPr>
            <sz val="9"/>
            <color indexed="81"/>
            <rFont val="Tahoma"/>
            <family val="2"/>
          </rPr>
          <t xml:space="preserve">
</t>
        </r>
      </text>
    </comment>
    <comment ref="N82" authorId="0" shapeId="0" xr:uid="{00000000-0006-0000-0600-000009000000}">
      <text>
        <r>
          <rPr>
            <b/>
            <sz val="9"/>
            <color indexed="81"/>
            <rFont val="Tahoma"/>
            <family val="2"/>
          </rPr>
          <t>CSM release is calculated at the very end of the year so it includes the experience adjustment</t>
        </r>
        <r>
          <rPr>
            <sz val="9"/>
            <color indexed="81"/>
            <rFont val="Tahoma"/>
            <family val="2"/>
          </rPr>
          <t xml:space="preserve">
</t>
        </r>
      </text>
    </comment>
    <comment ref="N92" authorId="0" shapeId="0" xr:uid="{00000000-0006-0000-0600-00000A000000}">
      <text>
        <r>
          <rPr>
            <b/>
            <sz val="9"/>
            <color indexed="81"/>
            <rFont val="Tahoma"/>
            <family val="2"/>
          </rPr>
          <t>At the total level there is no effect, just a shift between BEL, RA, and CSM</t>
        </r>
        <r>
          <rPr>
            <sz val="9"/>
            <color indexed="81"/>
            <rFont val="Tahoma"/>
            <family val="2"/>
          </rPr>
          <t xml:space="preserve">
</t>
        </r>
      </text>
    </comment>
  </commentList>
</comments>
</file>

<file path=xl/sharedStrings.xml><?xml version="1.0" encoding="utf-8"?>
<sst xmlns="http://schemas.openxmlformats.org/spreadsheetml/2006/main" count="560" uniqueCount="125">
  <si>
    <t>Premiums</t>
  </si>
  <si>
    <t>Claims</t>
  </si>
  <si>
    <t>Variance</t>
  </si>
  <si>
    <t>Policies Issued</t>
  </si>
  <si>
    <t>Mortality</t>
  </si>
  <si>
    <t>Lapse</t>
  </si>
  <si>
    <t>Policy Fee</t>
  </si>
  <si>
    <t>Premium Tax</t>
  </si>
  <si>
    <t>Chargeback</t>
  </si>
  <si>
    <t>Renewal Commission</t>
  </si>
  <si>
    <t>Locked-in CSM Rate</t>
  </si>
  <si>
    <t>Commission</t>
  </si>
  <si>
    <t>Acquisition Expense Attributable</t>
  </si>
  <si>
    <t>Acquisition Expense Non-Attributable</t>
  </si>
  <si>
    <t>Deaths</t>
  </si>
  <si>
    <t>Lapses</t>
  </si>
  <si>
    <t>Coverage Units Reconciliation</t>
  </si>
  <si>
    <t>Premium Rate per 1000</t>
  </si>
  <si>
    <t>Acquisition Commission</t>
  </si>
  <si>
    <t>Acquisition Expenses Attributable</t>
  </si>
  <si>
    <t>Acquisition Expenses Non-Attributable</t>
  </si>
  <si>
    <t>Total Net CFs</t>
  </si>
  <si>
    <t>BOY</t>
  </si>
  <si>
    <t>EOY</t>
  </si>
  <si>
    <t>Liability on Initial Recognition</t>
  </si>
  <si>
    <t>CSM at Initial Recognition</t>
  </si>
  <si>
    <t>Total</t>
  </si>
  <si>
    <t>Statement of Profit or Loss</t>
  </si>
  <si>
    <t>Insurance Service Revenue</t>
  </si>
  <si>
    <t>Insurance Service Expense</t>
  </si>
  <si>
    <t>Other Expense</t>
  </si>
  <si>
    <t>Investment Income</t>
  </si>
  <si>
    <t>Insurance Financial Expense</t>
  </si>
  <si>
    <t>PV Premiums</t>
  </si>
  <si>
    <t>PV Renewal Commission</t>
  </si>
  <si>
    <t>PV Claims</t>
  </si>
  <si>
    <t>PV Attributable Acquistion CFs</t>
  </si>
  <si>
    <t>PV Risk Adjustment CFs</t>
  </si>
  <si>
    <t>Actual Cashflows</t>
  </si>
  <si>
    <t>Actuals match Expected</t>
  </si>
  <si>
    <t>Base Profit</t>
  </si>
  <si>
    <t>Shock Lapse</t>
  </si>
  <si>
    <t>Acquisition Expenses include FYC and Attributable Expense, accreted with CSM interest rate and amortized with CSM coverage units</t>
  </si>
  <si>
    <t>Expected Risk Adjustment CFs (Initial Recognition)</t>
  </si>
  <si>
    <t>Expected Cashflows (Initial Recognition)</t>
  </si>
  <si>
    <t>Actual Risk Adjustment CFs</t>
  </si>
  <si>
    <t>Risk Adjustment is 10% of expected claims</t>
  </si>
  <si>
    <t>PV profits</t>
  </si>
  <si>
    <t>Business issued at start of period.  Premiums, Commissions, and First Year Expenses incurred at start of period.  Claims and Renewal Expenses incurred at end of period</t>
  </si>
  <si>
    <t>CSM coverage units are based on coverages inforce at the start of the period, undiscounted</t>
  </si>
  <si>
    <t>Asset Earned Rate</t>
  </si>
  <si>
    <t>Mortality Deterioration</t>
  </si>
  <si>
    <t>inv inc</t>
  </si>
  <si>
    <t>compare</t>
  </si>
  <si>
    <t>Release of CSM</t>
  </si>
  <si>
    <t>Release of Risk Adjustment</t>
  </si>
  <si>
    <t>Recovery of Acquisition Cash Flows</t>
  </si>
  <si>
    <t>Expected Expenses</t>
  </si>
  <si>
    <t>Claims Incurred</t>
  </si>
  <si>
    <t>Expenses Incurred</t>
  </si>
  <si>
    <t>Amortization of Acquisition Cash Flows</t>
  </si>
  <si>
    <t>Financial Gain/Loss</t>
  </si>
  <si>
    <t>Actual maintenance expense $5 higher starting in year 3.  Assumption change in year 5</t>
  </si>
  <si>
    <t>Sum Insured</t>
  </si>
  <si>
    <t>Decrements occur at end of period</t>
  </si>
  <si>
    <t>Mortality Risk Adjustment</t>
  </si>
  <si>
    <t>Maintenance Expense Attributable</t>
  </si>
  <si>
    <t>Maintenance Expense Non-Attributable</t>
  </si>
  <si>
    <t>PV Maintenance Expense Attributable</t>
  </si>
  <si>
    <t>IFSR17 Renewable Term 10 Example</t>
  </si>
  <si>
    <t>Investment Income Tax</t>
  </si>
  <si>
    <t>Discount Rate at Issue</t>
  </si>
  <si>
    <t>Shock Maintenance Expense Attributable</t>
  </si>
  <si>
    <t>Reconciliation of Best Estimate Liabilities (BEL)</t>
  </si>
  <si>
    <t>Opening</t>
  </si>
  <si>
    <t>Closing</t>
  </si>
  <si>
    <t>Changes Related to Future Services: New Business</t>
  </si>
  <si>
    <t>Change Related to Future Services:  Assumptions</t>
  </si>
  <si>
    <t>Expected Cash Inflows</t>
  </si>
  <si>
    <t>Expected Cash Outflows</t>
  </si>
  <si>
    <t>Insurance Finance Expense</t>
  </si>
  <si>
    <t>Changes Related to Current Services: Experience</t>
  </si>
  <si>
    <t>Changes Related to Current Services: Release</t>
  </si>
  <si>
    <t>Reconciliation of Risk Adjustment (RA)</t>
  </si>
  <si>
    <t>Reconciliation of Contractual Service Margin (CSM)</t>
  </si>
  <si>
    <t>Reconciliation of Total Contract Liability</t>
  </si>
  <si>
    <t>Reconciliation of Acquisition Expense Amortization</t>
  </si>
  <si>
    <t>New Acquistion Expense</t>
  </si>
  <si>
    <t>Accretion of Interest</t>
  </si>
  <si>
    <t>Amortized Expense</t>
  </si>
  <si>
    <t>Expected Claims</t>
  </si>
  <si>
    <t>When experience = expected, profits = CSM and RA release plus investment income variance less unallocated expenses</t>
  </si>
  <si>
    <t>Actual Cashflows (become Expected in year 6)</t>
  </si>
  <si>
    <t>One time lapse shock in year 9 - no assumption change</t>
  </si>
  <si>
    <t>Actual Cashflows (become Expected in year 10)</t>
  </si>
  <si>
    <t>Actual Risk Adjustment CFs (become Expected in year 10)</t>
  </si>
  <si>
    <t>Profit or Loss</t>
  </si>
  <si>
    <t>International Financial Reporting Standards (IFRS) 17 Insurance Contracts Example</t>
  </si>
  <si>
    <t>Learning Objective</t>
  </si>
  <si>
    <t>The candidate will understand at a high level how IFRS 17 standards are applied to a simplified 10 year renewable term product under the General Model Method.</t>
  </si>
  <si>
    <t>Learning Outcomes</t>
  </si>
  <si>
    <t>The candidate will be able to:</t>
  </si>
  <si>
    <t>1. Project insurance cashflows based on a given set of assumptions and product characteristics</t>
  </si>
  <si>
    <t>2. Apply interest rates to discount cashflows to calculate IFRS 17 liabilities</t>
  </si>
  <si>
    <t>3. Calculate the initial contractual service margin (CSM) and its subsequent measurement over the projection period using coverage units</t>
  </si>
  <si>
    <t>4. Describe the role of the CSM as the unearned profit for insurance contracts</t>
  </si>
  <si>
    <t>5. Understand the impact of directly attributable acquisition and maintenance expenses in the calculation of the CSM and the IFRS 17 income statement</t>
  </si>
  <si>
    <t>6. Understand the impact of non-attributable expenses in the calculation of the IFRS 17 income statement</t>
  </si>
  <si>
    <t>7. Describe the main components of the contract liabilities under IFRS 17</t>
  </si>
  <si>
    <t>8. Describe the main components of the income statement under IFRS 17</t>
  </si>
  <si>
    <t>9. Calculate the impact of lapse experience variance on cashflow projections, liabilities and income statement</t>
  </si>
  <si>
    <t>10. Calculate the impact of variance from expected expense assumptions and the implementation of an expense assumption change</t>
  </si>
  <si>
    <t>Sample possible questions</t>
  </si>
  <si>
    <t>1. Calculate revised liabilities and income statement assuming actual mortality is double expected in policy year 10</t>
  </si>
  <si>
    <t>2. Calculate the impact of lower attributable and non-attributable expenses on cashflows, liabilities and income statement</t>
  </si>
  <si>
    <t>3. Calculate the impact of different assumptions on the CSM at issue (note that the model is not set up to project negative CSM)</t>
  </si>
  <si>
    <t>Disclaimer</t>
  </si>
  <si>
    <t>From time to time, the Society of Actuaries (SOA) makes tools and illustrative examples available through its website, educational curriculum, or other means . The SOA takes reasonable steps to develop such tools consistent with accepted actuarial principles and practices. However, the SOA does not warranty these tools as fit for use in any respect, and no warranty should be assumed or implied by any individual.
Actuaries, insurers, regulators and other parties use the SOA's tools at their own risk. The SOA disclaims all responsibility for any party's use or misuse of its tools and for any work product generated through use or misuse of these tools and illustrations.</t>
  </si>
  <si>
    <t>This Excel model demonstrates how IFRS 17 is applied to a Renewable Term 10 product and projects cashflows and net present values on an annual policy year basis.</t>
  </si>
  <si>
    <t>An actual valuation would likely be performed more frequently (e.g. quarterly) on a calendar basis.</t>
  </si>
  <si>
    <t>The output from this model are projected cashflows, liability and net income.</t>
  </si>
  <si>
    <t>Instructions on how the model works is in this Word document:</t>
  </si>
  <si>
    <t xml:space="preserve">IFRS 17 Model </t>
  </si>
  <si>
    <t>IFRS17 Renewable Term 10 Example Assumptions</t>
  </si>
  <si>
    <t>IFRS17 Renewable Term 10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</si>
</sst>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0;\-&quot;$&quot;#,##0"/>
    <numFmt numFmtId="165" formatCode="&quot;$&quot;#,##0;[Red]\-&quot;$&quot;#,##0"/>
    <numFmt numFmtId="166" formatCode="_-&quot;$&quot;* #,##0.00_-;\-&quot;$&quot;* #,##0.00_-;_-&quot;$&quot;* &quot;-&quot;??_-;_-@_-"/>
    <numFmt numFmtId="167" formatCode="#,##0.0_);\(#,##0.0\)"/>
    <numFmt numFmtId="168" formatCode="#,##0.000_);\(#,##0.000\)"/>
    <numFmt numFmtId="169" formatCode="#,##0.0;\-#,##0.0"/>
    <numFmt numFmtId="170" formatCode="0.0%"/>
    <numFmt numFmtId="171" formatCode="_-&quot;$&quot;* #,##0_-;\-&quot;$&quot;* #,##0_-;_-&quot;$&quot;* &quot;-&quot;??_-;_-@_-"/>
    <numFmt numFmtId="172" formatCode="_(* #,##0_);_(* \(#,##0\);_(* &quot;-&quot;??_);_(@_)"/>
  </numFmts>
  <fonts count="1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u/>
      <sz val="11"/>
      <color theme="1"/>
      <name val="Calibri"/>
      <family val="2"/>
      <scheme val="minor"/>
    </font>
    <font>
      <b/>
      <sz val="11"/>
      <color theme="1"/>
      <name val="Calibri"/>
      <family val="2"/>
      <scheme val="minor"/>
    </font>
    <font>
      <sz val="11"/>
      <color rgb="FF3366FF"/>
      <name val="Calibri"/>
      <family val="2"/>
      <scheme val="minor"/>
    </font>
    <font>
      <sz val="11"/>
      <name val="Calibri"/>
      <family val="2"/>
      <scheme val="minor"/>
    </font>
    <font>
      <b/>
      <sz val="12"/>
      <color theme="1"/>
      <name val="Calibri"/>
      <family val="2"/>
      <scheme val="minor"/>
    </font>
    <font>
      <b/>
      <u/>
      <sz val="13"/>
      <color rgb="FF9E0000"/>
      <name val="Calibri"/>
      <family val="2"/>
      <scheme val="minor"/>
    </font>
    <font>
      <sz val="12"/>
      <color rgb="FF9E0000"/>
      <name val="Calibri"/>
      <family val="2"/>
      <scheme val="minor"/>
    </font>
    <font>
      <sz val="11"/>
      <color rgb="FF9E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9E0000"/>
      </left>
      <right/>
      <top style="thin">
        <color rgb="FF9E0000"/>
      </top>
      <bottom/>
      <diagonal/>
    </border>
    <border>
      <left style="thin">
        <color rgb="FF9E0000"/>
      </left>
      <right/>
      <top/>
      <bottom/>
      <diagonal/>
    </border>
    <border>
      <left style="thin">
        <color rgb="FF9E0000"/>
      </left>
      <right/>
      <top/>
      <bottom style="thin">
        <color rgb="FF9E0000"/>
      </bottom>
      <diagonal/>
    </border>
    <border>
      <left/>
      <right/>
      <top style="thin">
        <color rgb="FF9E0000"/>
      </top>
      <bottom/>
      <diagonal/>
    </border>
    <border>
      <left/>
      <right/>
      <top/>
      <bottom style="thin">
        <color rgb="FF9E0000"/>
      </bottom>
      <diagonal/>
    </border>
    <border>
      <left/>
      <right style="thin">
        <color rgb="FF9E0000"/>
      </right>
      <top style="thin">
        <color rgb="FF9E0000"/>
      </top>
      <bottom/>
      <diagonal/>
    </border>
    <border>
      <left/>
      <right style="thin">
        <color rgb="FF9E0000"/>
      </right>
      <top/>
      <bottom/>
      <diagonal/>
    </border>
    <border>
      <left/>
      <right style="thin">
        <color rgb="FF9E0000"/>
      </right>
      <top/>
      <bottom style="thin">
        <color rgb="FF9E0000"/>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87">
    <xf numFmtId="0" fontId="0" fillId="0" borderId="0" xfId="0"/>
    <xf numFmtId="37" fontId="0" fillId="0" borderId="0" xfId="0" applyNumberFormat="1" applyAlignment="1">
      <alignment horizontal="center"/>
    </xf>
    <xf numFmtId="37" fontId="0" fillId="0" borderId="0" xfId="0" applyNumberFormat="1" applyFill="1" applyAlignment="1">
      <alignment horizontal="center"/>
    </xf>
    <xf numFmtId="37" fontId="5" fillId="0" borderId="0" xfId="0" applyNumberFormat="1" applyFont="1" applyFill="1" applyAlignment="1">
      <alignment horizontal="center"/>
    </xf>
    <xf numFmtId="37" fontId="0" fillId="0" borderId="0" xfId="2" applyNumberFormat="1" applyFont="1" applyFill="1" applyAlignment="1">
      <alignment horizontal="left"/>
    </xf>
    <xf numFmtId="9" fontId="6" fillId="0" borderId="0" xfId="1" applyFont="1" applyFill="1" applyAlignment="1">
      <alignment horizontal="center"/>
    </xf>
    <xf numFmtId="37" fontId="0" fillId="0" borderId="0" xfId="0" applyNumberFormat="1" applyFont="1" applyFill="1" applyAlignment="1">
      <alignment horizontal="center"/>
    </xf>
    <xf numFmtId="37" fontId="4" fillId="0" borderId="0" xfId="0" applyNumberFormat="1" applyFont="1" applyFill="1" applyAlignment="1">
      <alignment horizontal="center"/>
    </xf>
    <xf numFmtId="37" fontId="7" fillId="0" borderId="0" xfId="0" applyNumberFormat="1" applyFont="1" applyFill="1" applyAlignment="1">
      <alignment horizontal="center"/>
    </xf>
    <xf numFmtId="37" fontId="0" fillId="0" borderId="0" xfId="0" applyNumberFormat="1" applyFill="1" applyAlignment="1">
      <alignment horizontal="left"/>
    </xf>
    <xf numFmtId="9" fontId="0" fillId="0" borderId="0" xfId="1" applyFont="1" applyFill="1" applyAlignment="1">
      <alignment horizontal="center"/>
    </xf>
    <xf numFmtId="167" fontId="0" fillId="0" borderId="0" xfId="0" applyNumberFormat="1" applyFill="1" applyAlignment="1">
      <alignment horizontal="center"/>
    </xf>
    <xf numFmtId="168" fontId="0" fillId="0" borderId="0" xfId="0" applyNumberFormat="1" applyFill="1" applyAlignment="1">
      <alignment horizontal="center"/>
    </xf>
    <xf numFmtId="37" fontId="8" fillId="0" borderId="0" xfId="2" applyNumberFormat="1" applyFont="1" applyFill="1" applyAlignment="1">
      <alignment horizontal="left"/>
    </xf>
    <xf numFmtId="164" fontId="0" fillId="0" borderId="0" xfId="0" applyNumberFormat="1" applyFill="1" applyAlignment="1">
      <alignment horizontal="center"/>
    </xf>
    <xf numFmtId="169" fontId="0" fillId="0" borderId="0" xfId="0" applyNumberFormat="1" applyFill="1" applyAlignment="1">
      <alignment horizontal="center"/>
    </xf>
    <xf numFmtId="10" fontId="0" fillId="0" borderId="0" xfId="1" applyNumberFormat="1" applyFont="1" applyFill="1" applyAlignment="1">
      <alignment horizontal="center"/>
    </xf>
    <xf numFmtId="9" fontId="7" fillId="0" borderId="0" xfId="1" applyFont="1" applyFill="1" applyAlignment="1">
      <alignment horizontal="center"/>
    </xf>
    <xf numFmtId="165" fontId="0" fillId="0" borderId="0" xfId="0" applyNumberFormat="1" applyFill="1" applyAlignment="1">
      <alignment horizontal="center"/>
    </xf>
    <xf numFmtId="37" fontId="0" fillId="0" borderId="1" xfId="0" applyNumberFormat="1" applyFont="1" applyFill="1" applyBorder="1" applyAlignment="1">
      <alignment horizontal="center"/>
    </xf>
    <xf numFmtId="37" fontId="0" fillId="0" borderId="2" xfId="0" applyNumberFormat="1" applyFill="1" applyBorder="1" applyAlignment="1">
      <alignment horizontal="center"/>
    </xf>
    <xf numFmtId="37" fontId="0" fillId="0" borderId="3" xfId="0" applyNumberFormat="1" applyFill="1" applyBorder="1" applyAlignment="1">
      <alignment horizontal="center"/>
    </xf>
    <xf numFmtId="37" fontId="0" fillId="0" borderId="4" xfId="0" applyNumberFormat="1" applyFont="1" applyFill="1" applyBorder="1" applyAlignment="1">
      <alignment horizontal="center"/>
    </xf>
    <xf numFmtId="37" fontId="0" fillId="0" borderId="0" xfId="0" applyNumberFormat="1" applyFill="1" applyBorder="1" applyAlignment="1">
      <alignment horizontal="center"/>
    </xf>
    <xf numFmtId="169" fontId="0" fillId="0" borderId="0" xfId="0" applyNumberFormat="1" applyFill="1" applyBorder="1" applyAlignment="1">
      <alignment horizontal="center"/>
    </xf>
    <xf numFmtId="169" fontId="0" fillId="0" borderId="5" xfId="0" applyNumberFormat="1" applyFill="1" applyBorder="1" applyAlignment="1">
      <alignment horizontal="center"/>
    </xf>
    <xf numFmtId="37" fontId="0" fillId="0" borderId="5" xfId="0" applyNumberFormat="1" applyFill="1" applyBorder="1" applyAlignment="1">
      <alignment horizontal="center"/>
    </xf>
    <xf numFmtId="37" fontId="0" fillId="0" borderId="6" xfId="0" applyNumberFormat="1" applyFont="1" applyFill="1" applyBorder="1" applyAlignment="1">
      <alignment horizontal="center"/>
    </xf>
    <xf numFmtId="37" fontId="0" fillId="0" borderId="7" xfId="0" applyNumberFormat="1" applyFill="1" applyBorder="1" applyAlignment="1">
      <alignment horizontal="center"/>
    </xf>
    <xf numFmtId="37" fontId="0" fillId="0" borderId="8" xfId="0" applyNumberFormat="1" applyFill="1" applyBorder="1" applyAlignment="1">
      <alignment horizontal="center"/>
    </xf>
    <xf numFmtId="37" fontId="0" fillId="0" borderId="1" xfId="0" applyNumberFormat="1" applyBorder="1" applyAlignment="1">
      <alignment horizontal="center"/>
    </xf>
    <xf numFmtId="37" fontId="0" fillId="0" borderId="4" xfId="0" applyNumberFormat="1" applyBorder="1" applyAlignment="1">
      <alignment horizontal="center"/>
    </xf>
    <xf numFmtId="37" fontId="0" fillId="0" borderId="6" xfId="0" applyNumberFormat="1" applyBorder="1" applyAlignment="1">
      <alignment horizontal="center"/>
    </xf>
    <xf numFmtId="37" fontId="0" fillId="0" borderId="9" xfId="0" applyNumberFormat="1" applyFont="1" applyFill="1" applyBorder="1" applyAlignment="1">
      <alignment horizontal="center"/>
    </xf>
    <xf numFmtId="37" fontId="0" fillId="0" borderId="10" xfId="0" applyNumberFormat="1" applyFill="1" applyBorder="1" applyAlignment="1">
      <alignment horizontal="center"/>
    </xf>
    <xf numFmtId="37" fontId="0" fillId="0" borderId="11" xfId="0" applyNumberFormat="1" applyFill="1" applyBorder="1" applyAlignment="1">
      <alignment horizontal="center"/>
    </xf>
    <xf numFmtId="37" fontId="4" fillId="0" borderId="5" xfId="0" applyNumberFormat="1" applyFont="1" applyFill="1" applyBorder="1" applyAlignment="1">
      <alignment horizontal="center"/>
    </xf>
    <xf numFmtId="37" fontId="0" fillId="0" borderId="1" xfId="0" applyNumberFormat="1" applyFill="1" applyBorder="1" applyAlignment="1">
      <alignment horizontal="center"/>
    </xf>
    <xf numFmtId="37" fontId="0" fillId="0" borderId="4" xfId="0" applyNumberFormat="1" applyFill="1" applyBorder="1" applyAlignment="1">
      <alignment horizontal="center"/>
    </xf>
    <xf numFmtId="37" fontId="0" fillId="0" borderId="6" xfId="0" applyNumberFormat="1" applyFill="1" applyBorder="1" applyAlignment="1">
      <alignment horizontal="center"/>
    </xf>
    <xf numFmtId="37" fontId="0" fillId="0" borderId="0" xfId="0" applyNumberFormat="1" applyFont="1" applyFill="1" applyAlignment="1">
      <alignment horizontal="left"/>
    </xf>
    <xf numFmtId="37" fontId="0" fillId="2" borderId="0" xfId="0" applyNumberFormat="1" applyFill="1" applyBorder="1" applyAlignment="1">
      <alignment horizontal="center"/>
    </xf>
    <xf numFmtId="164" fontId="0" fillId="2" borderId="0" xfId="0" applyNumberFormat="1" applyFill="1" applyAlignment="1">
      <alignment horizontal="center"/>
    </xf>
    <xf numFmtId="9" fontId="0" fillId="2" borderId="0" xfId="1" applyFont="1" applyFill="1" applyAlignment="1">
      <alignment horizontal="center"/>
    </xf>
    <xf numFmtId="37" fontId="0" fillId="0" borderId="0" xfId="0" applyNumberFormat="1" applyFont="1" applyFill="1" applyBorder="1" applyAlignment="1">
      <alignment horizontal="center"/>
    </xf>
    <xf numFmtId="37" fontId="0" fillId="2" borderId="5" xfId="0" applyNumberFormat="1" applyFill="1" applyBorder="1" applyAlignment="1">
      <alignment horizontal="center"/>
    </xf>
    <xf numFmtId="37" fontId="0" fillId="2" borderId="7" xfId="0" applyNumberFormat="1" applyFill="1" applyBorder="1" applyAlignment="1">
      <alignment horizontal="center"/>
    </xf>
    <xf numFmtId="37" fontId="0" fillId="2" borderId="8" xfId="0" applyNumberFormat="1" applyFill="1" applyBorder="1" applyAlignment="1">
      <alignment horizontal="center"/>
    </xf>
    <xf numFmtId="37" fontId="0" fillId="2" borderId="2" xfId="0" applyNumberFormat="1" applyFill="1" applyBorder="1" applyAlignment="1">
      <alignment horizontal="center"/>
    </xf>
    <xf numFmtId="37" fontId="0" fillId="2" borderId="3" xfId="0" applyNumberFormat="1" applyFill="1" applyBorder="1" applyAlignment="1">
      <alignment horizontal="center"/>
    </xf>
    <xf numFmtId="169" fontId="0" fillId="2" borderId="0" xfId="0" applyNumberFormat="1" applyFill="1" applyBorder="1" applyAlignment="1">
      <alignment horizontal="center"/>
    </xf>
    <xf numFmtId="169" fontId="0" fillId="2" borderId="5" xfId="0" applyNumberFormat="1" applyFill="1" applyBorder="1" applyAlignment="1">
      <alignment horizontal="center"/>
    </xf>
    <xf numFmtId="37" fontId="5" fillId="0" borderId="0" xfId="0" applyNumberFormat="1" applyFont="1" applyFill="1" applyBorder="1" applyAlignment="1">
      <alignment horizontal="center"/>
    </xf>
    <xf numFmtId="37" fontId="0" fillId="2" borderId="10" xfId="0" applyNumberFormat="1" applyFill="1" applyBorder="1" applyAlignment="1">
      <alignment horizontal="center"/>
    </xf>
    <xf numFmtId="37" fontId="0" fillId="2" borderId="11" xfId="0" applyNumberFormat="1" applyFill="1" applyBorder="1" applyAlignment="1">
      <alignment horizontal="center"/>
    </xf>
    <xf numFmtId="170" fontId="7" fillId="0" borderId="0" xfId="1" applyNumberFormat="1" applyFont="1" applyFill="1" applyAlignment="1">
      <alignment horizontal="center"/>
    </xf>
    <xf numFmtId="9" fontId="0" fillId="0" borderId="0" xfId="1" applyNumberFormat="1" applyFont="1" applyFill="1" applyAlignment="1">
      <alignment horizontal="center"/>
    </xf>
    <xf numFmtId="37" fontId="5" fillId="0" borderId="4" xfId="0" applyNumberFormat="1" applyFont="1" applyFill="1" applyBorder="1" applyAlignment="1">
      <alignment horizontal="center"/>
    </xf>
    <xf numFmtId="37" fontId="5" fillId="0" borderId="6" xfId="0" applyNumberFormat="1" applyFont="1" applyFill="1" applyBorder="1" applyAlignment="1">
      <alignment horizontal="center"/>
    </xf>
    <xf numFmtId="37" fontId="5" fillId="0" borderId="5" xfId="0" applyNumberFormat="1" applyFont="1" applyFill="1" applyBorder="1" applyAlignment="1">
      <alignment horizontal="center"/>
    </xf>
    <xf numFmtId="37" fontId="5" fillId="0" borderId="7" xfId="0" applyNumberFormat="1" applyFont="1" applyFill="1" applyBorder="1" applyAlignment="1">
      <alignment horizontal="center"/>
    </xf>
    <xf numFmtId="37" fontId="5" fillId="0" borderId="8" xfId="0" applyNumberFormat="1" applyFont="1" applyFill="1" applyBorder="1" applyAlignment="1">
      <alignment horizontal="center"/>
    </xf>
    <xf numFmtId="37" fontId="5" fillId="2" borderId="0" xfId="0" applyNumberFormat="1" applyFont="1" applyFill="1" applyBorder="1" applyAlignment="1">
      <alignment horizontal="center"/>
    </xf>
    <xf numFmtId="37" fontId="5" fillId="2" borderId="7" xfId="0" applyNumberFormat="1" applyFont="1" applyFill="1" applyBorder="1" applyAlignment="1">
      <alignment horizontal="center"/>
    </xf>
    <xf numFmtId="37" fontId="5" fillId="2" borderId="5" xfId="0" applyNumberFormat="1" applyFont="1" applyFill="1" applyBorder="1" applyAlignment="1">
      <alignment horizontal="center"/>
    </xf>
    <xf numFmtId="37" fontId="5" fillId="2" borderId="8" xfId="0" applyNumberFormat="1" applyFont="1" applyFill="1" applyBorder="1" applyAlignment="1">
      <alignment horizontal="center"/>
    </xf>
    <xf numFmtId="37" fontId="0" fillId="0" borderId="0" xfId="0" applyNumberFormat="1" applyFill="1" applyAlignment="1">
      <alignment horizontal="center" wrapText="1"/>
    </xf>
    <xf numFmtId="171" fontId="0" fillId="0" borderId="0" xfId="3" applyNumberFormat="1" applyFont="1" applyFill="1" applyAlignment="1">
      <alignment horizontal="center"/>
    </xf>
    <xf numFmtId="172" fontId="0" fillId="0" borderId="0" xfId="2" applyNumberFormat="1" applyFont="1" applyFill="1" applyAlignment="1">
      <alignment horizontal="center"/>
    </xf>
    <xf numFmtId="0" fontId="0" fillId="3" borderId="0" xfId="0" applyFill="1"/>
    <xf numFmtId="0" fontId="5" fillId="3" borderId="0" xfId="0" applyFont="1" applyFill="1"/>
    <xf numFmtId="0" fontId="0" fillId="3" borderId="0" xfId="0" applyFill="1" applyAlignment="1">
      <alignment wrapText="1"/>
    </xf>
    <xf numFmtId="0" fontId="0" fillId="0" borderId="0" xfId="0" applyAlignment="1">
      <alignment horizontal="left" vertical="center" indent="5"/>
    </xf>
    <xf numFmtId="0" fontId="9" fillId="0" borderId="12" xfId="0" applyFont="1" applyBorder="1"/>
    <xf numFmtId="0" fontId="10" fillId="0" borderId="13" xfId="0" applyFont="1" applyBorder="1"/>
    <xf numFmtId="0" fontId="11" fillId="0" borderId="15" xfId="0" applyFont="1" applyBorder="1"/>
    <xf numFmtId="0" fontId="11" fillId="0" borderId="0" xfId="0" applyFont="1" applyBorder="1"/>
    <xf numFmtId="0" fontId="0" fillId="0" borderId="17" xfId="0" applyBorder="1"/>
    <xf numFmtId="0" fontId="0" fillId="0" borderId="18" xfId="0" applyBorder="1"/>
    <xf numFmtId="0" fontId="11" fillId="0" borderId="13"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wrapText="1"/>
    </xf>
    <xf numFmtId="0" fontId="0" fillId="0" borderId="18" xfId="0" applyBorder="1" applyAlignment="1">
      <alignment wrapText="1"/>
    </xf>
    <xf numFmtId="0" fontId="11" fillId="0" borderId="14" xfId="0" applyFont="1" applyBorder="1" applyAlignment="1">
      <alignment vertical="top" wrapText="1"/>
    </xf>
    <xf numFmtId="0" fontId="11" fillId="0" borderId="16" xfId="0" applyFont="1" applyBorder="1" applyAlignment="1">
      <alignment vertical="top" wrapText="1"/>
    </xf>
    <xf numFmtId="0" fontId="11" fillId="0" borderId="16" xfId="0" applyFont="1" applyBorder="1" applyAlignment="1">
      <alignment wrapText="1"/>
    </xf>
    <xf numFmtId="0" fontId="0" fillId="0" borderId="19" xfId="0" applyBorder="1" applyAlignment="1">
      <alignment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colors>
    <mruColors>
      <color rgb="FF3366FF"/>
      <color rgb="FF00FFCC"/>
      <color rgb="FFFF66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Components of Liabilities</a:t>
            </a:r>
            <a:endParaRPr lang="en-CA"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BEL</c:v>
          </c:tx>
          <c:spPr>
            <a:ln w="28575" cap="rnd">
              <a:solidFill>
                <a:schemeClr val="accent1"/>
              </a:solidFill>
              <a:round/>
            </a:ln>
            <a:effectLst/>
          </c:spPr>
          <c:marker>
            <c:symbol val="none"/>
          </c:marker>
          <c:val>
            <c:numRef>
              <c:f>Base!$F$61:$Y$61</c:f>
              <c:numCache>
                <c:formatCode>#,##0_);\(#,##0\)</c:formatCode>
                <c:ptCount val="20"/>
                <c:pt idx="0">
                  <c:v>-306260.47817019193</c:v>
                </c:pt>
                <c:pt idx="1">
                  <c:v>-230634.91329699958</c:v>
                </c:pt>
                <c:pt idx="2">
                  <c:v>-174448.07862247957</c:v>
                </c:pt>
                <c:pt idx="3">
                  <c:v>-119317.08823690194</c:v>
                </c:pt>
                <c:pt idx="4">
                  <c:v>-81376.639702851098</c:v>
                </c:pt>
                <c:pt idx="5">
                  <c:v>-59516.419408030233</c:v>
                </c:pt>
                <c:pt idx="6">
                  <c:v>-38055.13529568135</c:v>
                </c:pt>
                <c:pt idx="7">
                  <c:v>-30855.160091355985</c:v>
                </c:pt>
                <c:pt idx="8">
                  <c:v>-37014.569051051418</c:v>
                </c:pt>
                <c:pt idx="9">
                  <c:v>-55701.859269323562</c:v>
                </c:pt>
                <c:pt idx="10">
                  <c:v>-20168.554641529761</c:v>
                </c:pt>
                <c:pt idx="11">
                  <c:v>4470.6272624184394</c:v>
                </c:pt>
                <c:pt idx="12">
                  <c:v>23858.488957032052</c:v>
                </c:pt>
                <c:pt idx="13">
                  <c:v>38365.005855440642</c:v>
                </c:pt>
                <c:pt idx="14">
                  <c:v>43929.253101258451</c:v>
                </c:pt>
                <c:pt idx="15">
                  <c:v>45331.263767024633</c:v>
                </c:pt>
                <c:pt idx="16">
                  <c:v>42858.602169302925</c:v>
                </c:pt>
                <c:pt idx="17">
                  <c:v>33037.549519477812</c:v>
                </c:pt>
                <c:pt idx="18">
                  <c:v>16366.169636050454</c:v>
                </c:pt>
                <c:pt idx="19">
                  <c:v>-2.3010215954855084E-10</c:v>
                </c:pt>
              </c:numCache>
            </c:numRef>
          </c:val>
          <c:smooth val="0"/>
          <c:extLst>
            <c:ext xmlns:c16="http://schemas.microsoft.com/office/drawing/2014/chart" uri="{C3380CC4-5D6E-409C-BE32-E72D297353CC}">
              <c16:uniqueId val="{00000002-51A0-4D86-BFA9-737122D8241C}"/>
            </c:ext>
          </c:extLst>
        </c:ser>
        <c:ser>
          <c:idx val="1"/>
          <c:order val="1"/>
          <c:tx>
            <c:v>RA</c:v>
          </c:tx>
          <c:spPr>
            <a:ln w="28575" cap="rnd">
              <a:solidFill>
                <a:schemeClr val="accent2"/>
              </a:solidFill>
              <a:round/>
            </a:ln>
            <a:effectLst/>
          </c:spPr>
          <c:marker>
            <c:symbol val="none"/>
          </c:marker>
          <c:val>
            <c:numRef>
              <c:f>Base!$F$72:$Y$72</c:f>
              <c:numCache>
                <c:formatCode>#,##0_);\(#,##0\)</c:formatCode>
                <c:ptCount val="20"/>
                <c:pt idx="0">
                  <c:v>115637.24697073083</c:v>
                </c:pt>
                <c:pt idx="1">
                  <c:v>112665.93684956006</c:v>
                </c:pt>
                <c:pt idx="2">
                  <c:v>108155.17272354248</c:v>
                </c:pt>
                <c:pt idx="3">
                  <c:v>103919.35681328418</c:v>
                </c:pt>
                <c:pt idx="4">
                  <c:v>98320.56228561906</c:v>
                </c:pt>
                <c:pt idx="5">
                  <c:v>91447.791588319538</c:v>
                </c:pt>
                <c:pt idx="6">
                  <c:v>84847.953637796338</c:v>
                </c:pt>
                <c:pt idx="7">
                  <c:v>77113.092687738666</c:v>
                </c:pt>
                <c:pt idx="8">
                  <c:v>68313.74963804429</c:v>
                </c:pt>
                <c:pt idx="9">
                  <c:v>58514.101913274688</c:v>
                </c:pt>
                <c:pt idx="10">
                  <c:v>54847.670322320257</c:v>
                </c:pt>
                <c:pt idx="11">
                  <c:v>50311.025187316154</c:v>
                </c:pt>
                <c:pt idx="12">
                  <c:v>45454.083669617379</c:v>
                </c:pt>
                <c:pt idx="13">
                  <c:v>40298.229075246578</c:v>
                </c:pt>
                <c:pt idx="14">
                  <c:v>34422.213291653956</c:v>
                </c:pt>
                <c:pt idx="15">
                  <c:v>28290.697168319421</c:v>
                </c:pt>
                <c:pt idx="16">
                  <c:v>21918.029165932156</c:v>
                </c:pt>
                <c:pt idx="17">
                  <c:v>14942.817936385913</c:v>
                </c:pt>
                <c:pt idx="18">
                  <c:v>7402.3859742783643</c:v>
                </c:pt>
                <c:pt idx="19">
                  <c:v>-9.6406438387930393E-11</c:v>
                </c:pt>
              </c:numCache>
            </c:numRef>
          </c:val>
          <c:smooth val="0"/>
          <c:extLst>
            <c:ext xmlns:c16="http://schemas.microsoft.com/office/drawing/2014/chart" uri="{C3380CC4-5D6E-409C-BE32-E72D297353CC}">
              <c16:uniqueId val="{00000003-51A0-4D86-BFA9-737122D8241C}"/>
            </c:ext>
          </c:extLst>
        </c:ser>
        <c:ser>
          <c:idx val="2"/>
          <c:order val="2"/>
          <c:tx>
            <c:v>CSM</c:v>
          </c:tx>
          <c:spPr>
            <a:ln w="28575" cap="rnd">
              <a:solidFill>
                <a:schemeClr val="accent3"/>
              </a:solidFill>
              <a:round/>
            </a:ln>
            <a:effectLst/>
          </c:spPr>
          <c:marker>
            <c:symbol val="none"/>
          </c:marker>
          <c:val>
            <c:numRef>
              <c:f>Base!$F$83:$Y$83</c:f>
              <c:numCache>
                <c:formatCode>#,##0_);\(#,##0\)</c:formatCode>
                <c:ptCount val="20"/>
                <c:pt idx="0">
                  <c:v>65696.035804775805</c:v>
                </c:pt>
                <c:pt idx="1">
                  <c:v>60455.602540301981</c:v>
                </c:pt>
                <c:pt idx="2">
                  <c:v>55103.244443882992</c:v>
                </c:pt>
                <c:pt idx="3">
                  <c:v>49634.079712726583</c:v>
                </c:pt>
                <c:pt idx="4">
                  <c:v>44042.218039575499</c:v>
                </c:pt>
                <c:pt idx="5">
                  <c:v>38322.336786151965</c:v>
                </c:pt>
                <c:pt idx="6">
                  <c:v>32468.88570523337</c:v>
                </c:pt>
                <c:pt idx="7">
                  <c:v>26475.309974540531</c:v>
                </c:pt>
                <c:pt idx="8">
                  <c:v>20335.566408051011</c:v>
                </c:pt>
                <c:pt idx="9">
                  <c:v>14043.356206071245</c:v>
                </c:pt>
                <c:pt idx="10">
                  <c:v>12765.01576932826</c:v>
                </c:pt>
                <c:pt idx="11">
                  <c:v>11461.306440854725</c:v>
                </c:pt>
                <c:pt idx="12">
                  <c:v>10131.513116116788</c:v>
                </c:pt>
                <c:pt idx="13">
                  <c:v>8774.5434551216822</c:v>
                </c:pt>
                <c:pt idx="14">
                  <c:v>7389.2526583212466</c:v>
                </c:pt>
                <c:pt idx="15">
                  <c:v>5974.7575272921631</c:v>
                </c:pt>
                <c:pt idx="16">
                  <c:v>4529.8055475878573</c:v>
                </c:pt>
                <c:pt idx="17">
                  <c:v>3053.0858684719237</c:v>
                </c:pt>
                <c:pt idx="18">
                  <c:v>1543.5288842892828</c:v>
                </c:pt>
                <c:pt idx="19">
                  <c:v>0</c:v>
                </c:pt>
              </c:numCache>
            </c:numRef>
          </c:val>
          <c:smooth val="0"/>
          <c:extLst>
            <c:ext xmlns:c16="http://schemas.microsoft.com/office/drawing/2014/chart" uri="{C3380CC4-5D6E-409C-BE32-E72D297353CC}">
              <c16:uniqueId val="{00000004-51A0-4D86-BFA9-737122D8241C}"/>
            </c:ext>
          </c:extLst>
        </c:ser>
        <c:ser>
          <c:idx val="3"/>
          <c:order val="3"/>
          <c:tx>
            <c:v>Total</c:v>
          </c:tx>
          <c:spPr>
            <a:ln w="28575" cap="rnd">
              <a:solidFill>
                <a:schemeClr val="accent4"/>
              </a:solidFill>
              <a:round/>
            </a:ln>
            <a:effectLst/>
          </c:spPr>
          <c:marker>
            <c:symbol val="none"/>
          </c:marker>
          <c:val>
            <c:numRef>
              <c:f>Base!$F$94:$Y$94</c:f>
              <c:numCache>
                <c:formatCode>#,##0_);\(#,##0\)</c:formatCode>
                <c:ptCount val="20"/>
                <c:pt idx="0">
                  <c:v>-124927.19539468529</c:v>
                </c:pt>
                <c:pt idx="1">
                  <c:v>-57513.373907137538</c:v>
                </c:pt>
                <c:pt idx="2">
                  <c:v>-11189.661455054105</c:v>
                </c:pt>
                <c:pt idx="3">
                  <c:v>34236.348289108821</c:v>
                </c:pt>
                <c:pt idx="4">
                  <c:v>60986.140622343461</c:v>
                </c:pt>
                <c:pt idx="5">
                  <c:v>70253.708966441278</c:v>
                </c:pt>
                <c:pt idx="6">
                  <c:v>79261.70404734835</c:v>
                </c:pt>
                <c:pt idx="7">
                  <c:v>72733.242570923219</c:v>
                </c:pt>
                <c:pt idx="8">
                  <c:v>51634.746995043883</c:v>
                </c:pt>
                <c:pt idx="9">
                  <c:v>16855.598850022368</c:v>
                </c:pt>
                <c:pt idx="10">
                  <c:v>47444.131450118752</c:v>
                </c:pt>
                <c:pt idx="11">
                  <c:v>66242.958890589318</c:v>
                </c:pt>
                <c:pt idx="12">
                  <c:v>79444.085742766212</c:v>
                </c:pt>
                <c:pt idx="13">
                  <c:v>87437.778385808895</c:v>
                </c:pt>
                <c:pt idx="14">
                  <c:v>85740.719051233653</c:v>
                </c:pt>
                <c:pt idx="15">
                  <c:v>79596.718462636214</c:v>
                </c:pt>
                <c:pt idx="16">
                  <c:v>69306.436882822949</c:v>
                </c:pt>
                <c:pt idx="17">
                  <c:v>51033.453324335649</c:v>
                </c:pt>
                <c:pt idx="18">
                  <c:v>25312.084494618102</c:v>
                </c:pt>
                <c:pt idx="19">
                  <c:v>-3.2650859793648124E-10</c:v>
                </c:pt>
              </c:numCache>
            </c:numRef>
          </c:val>
          <c:smooth val="0"/>
          <c:extLst>
            <c:ext xmlns:c16="http://schemas.microsoft.com/office/drawing/2014/chart" uri="{C3380CC4-5D6E-409C-BE32-E72D297353CC}">
              <c16:uniqueId val="{00000000-5E1D-44DA-9686-5C929B6F210F}"/>
            </c:ext>
          </c:extLst>
        </c:ser>
        <c:dLbls>
          <c:showLegendKey val="0"/>
          <c:showVal val="0"/>
          <c:showCatName val="0"/>
          <c:showSerName val="0"/>
          <c:showPercent val="0"/>
          <c:showBubbleSize val="0"/>
        </c:dLbls>
        <c:smooth val="0"/>
        <c:axId val="587222864"/>
        <c:axId val="587223256"/>
      </c:lineChart>
      <c:catAx>
        <c:axId val="5872228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223256"/>
        <c:crosses val="autoZero"/>
        <c:auto val="1"/>
        <c:lblAlgn val="ctr"/>
        <c:lblOffset val="100"/>
        <c:noMultiLvlLbl val="0"/>
      </c:catAx>
      <c:valAx>
        <c:axId val="587223256"/>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22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Sources of Profits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CSM</c:v>
          </c:tx>
          <c:spPr>
            <a:ln w="28575" cap="rnd">
              <a:solidFill>
                <a:schemeClr val="accent1"/>
              </a:solidFill>
              <a:round/>
            </a:ln>
            <a:effectLst/>
          </c:spPr>
          <c:marker>
            <c:symbol val="none"/>
          </c:marker>
          <c:val>
            <c:numRef>
              <c:f>Base!$F$104:$Y$104</c:f>
              <c:numCache>
                <c:formatCode>#,##0_);\(#,##0\)</c:formatCode>
                <c:ptCount val="20"/>
                <c:pt idx="0">
                  <c:v>7967.1953946852755</c:v>
                </c:pt>
                <c:pt idx="1">
                  <c:v>7868.2746966648656</c:v>
                </c:pt>
                <c:pt idx="2">
                  <c:v>7770.5821980310729</c:v>
                </c:pt>
                <c:pt idx="3">
                  <c:v>7673.2945089117256</c:v>
                </c:pt>
                <c:pt idx="4">
                  <c:v>7577.2248616601501</c:v>
                </c:pt>
                <c:pt idx="5">
                  <c:v>7481.5699750065542</c:v>
                </c:pt>
                <c:pt idx="6">
                  <c:v>7386.3445523646733</c:v>
                </c:pt>
                <c:pt idx="7">
                  <c:v>7292.3311589021732</c:v>
                </c:pt>
                <c:pt idx="8">
                  <c:v>7198.7559654711413</c:v>
                </c:pt>
                <c:pt idx="9">
                  <c:v>7105.6328583018058</c:v>
                </c:pt>
                <c:pt idx="10">
                  <c:v>1840.0746849858356</c:v>
                </c:pt>
                <c:pt idx="11">
                  <c:v>1814.309959246664</c:v>
                </c:pt>
                <c:pt idx="12">
                  <c:v>1788.2455823721273</c:v>
                </c:pt>
                <c:pt idx="13">
                  <c:v>1762.2301856397769</c:v>
                </c:pt>
                <c:pt idx="14">
                  <c:v>1736.2725350053033</c:v>
                </c:pt>
                <c:pt idx="15">
                  <c:v>1710.0652373619332</c:v>
                </c:pt>
                <c:pt idx="16">
                  <c:v>1683.9422807959922</c:v>
                </c:pt>
                <c:pt idx="17">
                  <c:v>1657.9119010194477</c:v>
                </c:pt>
                <c:pt idx="18">
                  <c:v>1631.6804189215177</c:v>
                </c:pt>
                <c:pt idx="19">
                  <c:v>1605.2700396608541</c:v>
                </c:pt>
              </c:numCache>
            </c:numRef>
          </c:val>
          <c:smooth val="0"/>
          <c:extLst>
            <c:ext xmlns:c16="http://schemas.microsoft.com/office/drawing/2014/chart" uri="{C3380CC4-5D6E-409C-BE32-E72D297353CC}">
              <c16:uniqueId val="{00000000-1D52-48C5-959F-34FE7E3ADC76}"/>
            </c:ext>
          </c:extLst>
        </c:ser>
        <c:ser>
          <c:idx val="1"/>
          <c:order val="1"/>
          <c:tx>
            <c:v>RA</c:v>
          </c:tx>
          <c:spPr>
            <a:ln w="28575" cap="rnd">
              <a:solidFill>
                <a:schemeClr val="accent2"/>
              </a:solidFill>
              <a:round/>
            </a:ln>
            <a:effectLst/>
          </c:spPr>
          <c:marker>
            <c:symbol val="none"/>
          </c:marker>
          <c:val>
            <c:numRef>
              <c:f>Base!$F$105:$Y$105</c:f>
              <c:numCache>
                <c:formatCode>#,##0_);\(#,##0\)</c:formatCode>
                <c:ptCount val="20"/>
                <c:pt idx="0">
                  <c:v>8000</c:v>
                </c:pt>
                <c:pt idx="1">
                  <c:v>7596.8</c:v>
                </c:pt>
                <c:pt idx="2">
                  <c:v>9017.4016000000029</c:v>
                </c:pt>
                <c:pt idx="3">
                  <c:v>8562.0228192000013</c:v>
                </c:pt>
                <c:pt idx="4">
                  <c:v>9755.5688001964809</c:v>
                </c:pt>
                <c:pt idx="5">
                  <c:v>10805.593188724297</c:v>
                </c:pt>
                <c:pt idx="6">
                  <c:v>10257.749614055976</c:v>
                </c:pt>
                <c:pt idx="7">
                  <c:v>11128.779095569529</c:v>
                </c:pt>
                <c:pt idx="8">
                  <c:v>11883.866757203921</c:v>
                </c:pt>
                <c:pt idx="9">
                  <c:v>12532.197710291379</c:v>
                </c:pt>
                <c:pt idx="10">
                  <c:v>6006.9956674854157</c:v>
                </c:pt>
                <c:pt idx="11">
                  <c:v>6730.5519478969145</c:v>
                </c:pt>
                <c:pt idx="12">
                  <c:v>6869.3825251914213</c:v>
                </c:pt>
                <c:pt idx="13">
                  <c:v>6974.0179411554964</c:v>
                </c:pt>
                <c:pt idx="14">
                  <c:v>7487.9449466024807</c:v>
                </c:pt>
                <c:pt idx="15">
                  <c:v>7508.4046550006969</c:v>
                </c:pt>
                <c:pt idx="16">
                  <c:v>7504.2958891200433</c:v>
                </c:pt>
                <c:pt idx="17">
                  <c:v>7851.9323961835289</c:v>
                </c:pt>
                <c:pt idx="18">
                  <c:v>8138.1446795629854</c:v>
                </c:pt>
                <c:pt idx="19">
                  <c:v>7698.4814132495949</c:v>
                </c:pt>
              </c:numCache>
            </c:numRef>
          </c:val>
          <c:smooth val="0"/>
          <c:extLst>
            <c:ext xmlns:c16="http://schemas.microsoft.com/office/drawing/2014/chart" uri="{C3380CC4-5D6E-409C-BE32-E72D297353CC}">
              <c16:uniqueId val="{00000001-1D52-48C5-959F-34FE7E3ADC76}"/>
            </c:ext>
          </c:extLst>
        </c:ser>
        <c:ser>
          <c:idx val="2"/>
          <c:order val="2"/>
          <c:tx>
            <c:v>Expenses</c:v>
          </c:tx>
          <c:spPr>
            <a:ln w="28575" cap="rnd">
              <a:solidFill>
                <a:schemeClr val="accent3"/>
              </a:solidFill>
              <a:round/>
            </a:ln>
            <a:effectLst/>
          </c:spPr>
          <c:marker>
            <c:symbol val="none"/>
          </c:marker>
          <c:val>
            <c:numRef>
              <c:f>Base!$F$116:$Y$116</c:f>
              <c:numCache>
                <c:formatCode>#,##0_);\(#,##0\)</c:formatCode>
                <c:ptCount val="20"/>
                <c:pt idx="0">
                  <c:v>-80000</c:v>
                </c:pt>
                <c:pt idx="1">
                  <c:v>-18992</c:v>
                </c:pt>
                <c:pt idx="2">
                  <c:v>-18034.803200000002</c:v>
                </c:pt>
                <c:pt idx="3">
                  <c:v>-17124.045638400003</c:v>
                </c:pt>
                <c:pt idx="4">
                  <c:v>-16259.281333660801</c:v>
                </c:pt>
                <c:pt idx="5">
                  <c:v>-15436.561698177566</c:v>
                </c:pt>
                <c:pt idx="6">
                  <c:v>-14653.928020079964</c:v>
                </c:pt>
                <c:pt idx="7">
                  <c:v>-13910.973869461908</c:v>
                </c:pt>
                <c:pt idx="8">
                  <c:v>-13204.296396893244</c:v>
                </c:pt>
                <c:pt idx="9">
                  <c:v>-12532.197710291377</c:v>
                </c:pt>
                <c:pt idx="10">
                  <c:v>-3120.517229862553</c:v>
                </c:pt>
                <c:pt idx="11">
                  <c:v>-2958.4843727019406</c:v>
                </c:pt>
                <c:pt idx="12">
                  <c:v>-2803.8296021189467</c:v>
                </c:pt>
                <c:pt idx="13">
                  <c:v>-2656.7687394878076</c:v>
                </c:pt>
                <c:pt idx="14">
                  <c:v>-2516.9562845722621</c:v>
                </c:pt>
                <c:pt idx="15">
                  <c:v>-2383.6205253970465</c:v>
                </c:pt>
                <c:pt idx="16">
                  <c:v>-2256.9310944721933</c:v>
                </c:pt>
                <c:pt idx="17">
                  <c:v>-2136.5802438594637</c:v>
                </c:pt>
                <c:pt idx="18">
                  <c:v>-2021.8992992703068</c:v>
                </c:pt>
                <c:pt idx="19">
                  <c:v>-1912.6661896272285</c:v>
                </c:pt>
              </c:numCache>
            </c:numRef>
          </c:val>
          <c:smooth val="0"/>
          <c:extLst>
            <c:ext xmlns:c16="http://schemas.microsoft.com/office/drawing/2014/chart" uri="{C3380CC4-5D6E-409C-BE32-E72D297353CC}">
              <c16:uniqueId val="{00000002-1D52-48C5-959F-34FE7E3ADC76}"/>
            </c:ext>
          </c:extLst>
        </c:ser>
        <c:ser>
          <c:idx val="3"/>
          <c:order val="3"/>
          <c:tx>
            <c:v>Investments</c:v>
          </c:tx>
          <c:spPr>
            <a:ln w="28575" cap="rnd">
              <a:solidFill>
                <a:schemeClr val="accent4"/>
              </a:solidFill>
              <a:round/>
            </a:ln>
            <a:effectLst/>
          </c:spPr>
          <c:marker>
            <c:symbol val="none"/>
          </c:marker>
          <c:val>
            <c:numRef>
              <c:f>Base!$F$120:$Y$120</c:f>
              <c:numCache>
                <c:formatCode>#,##0_);\(#,##0\)</c:formatCode>
                <c:ptCount val="20"/>
                <c:pt idx="0">
                  <c:v>5</c:v>
                </c:pt>
                <c:pt idx="1">
                  <c:v>300.0370230265753</c:v>
                </c:pt>
                <c:pt idx="2">
                  <c:v>590.50261126431178</c:v>
                </c:pt>
                <c:pt idx="3">
                  <c:v>777.77866474432903</c:v>
                </c:pt>
                <c:pt idx="4">
                  <c:v>962.80550137815317</c:v>
                </c:pt>
                <c:pt idx="5">
                  <c:v>1056.4983007917363</c:v>
                </c:pt>
                <c:pt idx="6">
                  <c:v>1064.7316653098496</c:v>
                </c:pt>
                <c:pt idx="7">
                  <c:v>1073.599060506167</c:v>
                </c:pt>
                <c:pt idx="8">
                  <c:v>1006.5503936783552</c:v>
                </c:pt>
                <c:pt idx="9">
                  <c:v>868.33511099503085</c:v>
                </c:pt>
                <c:pt idx="10">
                  <c:v>577.12468424152758</c:v>
                </c:pt>
                <c:pt idx="11">
                  <c:v>704.47628286420604</c:v>
                </c:pt>
                <c:pt idx="12">
                  <c:v>774.0446322376074</c:v>
                </c:pt>
                <c:pt idx="13">
                  <c:v>816.82384150668531</c:v>
                </c:pt>
                <c:pt idx="14">
                  <c:v>834.71067512367517</c:v>
                </c:pt>
                <c:pt idx="15">
                  <c:v>805.16666198606436</c:v>
                </c:pt>
                <c:pt idx="16">
                  <c:v>754.43764704638215</c:v>
                </c:pt>
                <c:pt idx="17">
                  <c:v>683.97832667866987</c:v>
                </c:pt>
                <c:pt idx="18">
                  <c:v>574.50098720018195</c:v>
                </c:pt>
                <c:pt idx="19">
                  <c:v>428.64213879734007</c:v>
                </c:pt>
              </c:numCache>
            </c:numRef>
          </c:val>
          <c:smooth val="0"/>
          <c:extLst>
            <c:ext xmlns:c16="http://schemas.microsoft.com/office/drawing/2014/chart" uri="{C3380CC4-5D6E-409C-BE32-E72D297353CC}">
              <c16:uniqueId val="{00000003-1D52-48C5-959F-34FE7E3ADC76}"/>
            </c:ext>
          </c:extLst>
        </c:ser>
        <c:ser>
          <c:idx val="4"/>
          <c:order val="4"/>
          <c:tx>
            <c:v>Total</c:v>
          </c:tx>
          <c:spPr>
            <a:ln w="28575" cap="rnd">
              <a:solidFill>
                <a:schemeClr val="accent5"/>
              </a:solidFill>
              <a:round/>
            </a:ln>
            <a:effectLst/>
          </c:spPr>
          <c:marker>
            <c:symbol val="none"/>
          </c:marker>
          <c:val>
            <c:numRef>
              <c:f>Base!$F$122:$Y$122</c:f>
              <c:numCache>
                <c:formatCode>#,##0_);\(#,##0\)</c:formatCode>
                <c:ptCount val="20"/>
                <c:pt idx="0">
                  <c:v>-64027.804605314741</c:v>
                </c:pt>
                <c:pt idx="1">
                  <c:v>-3226.8882803085517</c:v>
                </c:pt>
                <c:pt idx="2">
                  <c:v>-656.31679070463542</c:v>
                </c:pt>
                <c:pt idx="3">
                  <c:v>-110.94964554393937</c:v>
                </c:pt>
                <c:pt idx="4">
                  <c:v>2036.3178295739681</c:v>
                </c:pt>
                <c:pt idx="5">
                  <c:v>3907.0997663450453</c:v>
                </c:pt>
                <c:pt idx="6">
                  <c:v>4054.8978116505186</c:v>
                </c:pt>
                <c:pt idx="7">
                  <c:v>5583.7354455159439</c:v>
                </c:pt>
                <c:pt idx="8">
                  <c:v>6884.8767194601751</c:v>
                </c:pt>
                <c:pt idx="9">
                  <c:v>7973.9679692968239</c:v>
                </c:pt>
                <c:pt idx="10">
                  <c:v>5303.6778068502335</c:v>
                </c:pt>
                <c:pt idx="11">
                  <c:v>6290.8538173058478</c:v>
                </c:pt>
                <c:pt idx="12">
                  <c:v>6627.8431376822091</c:v>
                </c:pt>
                <c:pt idx="13">
                  <c:v>6896.3032288141312</c:v>
                </c:pt>
                <c:pt idx="14">
                  <c:v>7541.971872159188</c:v>
                </c:pt>
                <c:pt idx="15">
                  <c:v>7640.0160289516452</c:v>
                </c:pt>
                <c:pt idx="16">
                  <c:v>7685.7447224902216</c:v>
                </c:pt>
                <c:pt idx="17">
                  <c:v>8057.2423800221795</c:v>
                </c:pt>
                <c:pt idx="18">
                  <c:v>8322.4267864143821</c:v>
                </c:pt>
                <c:pt idx="19">
                  <c:v>7819.7274020805635</c:v>
                </c:pt>
              </c:numCache>
            </c:numRef>
          </c:val>
          <c:smooth val="0"/>
          <c:extLst>
            <c:ext xmlns:c16="http://schemas.microsoft.com/office/drawing/2014/chart" uri="{C3380CC4-5D6E-409C-BE32-E72D297353CC}">
              <c16:uniqueId val="{00000004-1D52-48C5-959F-34FE7E3ADC76}"/>
            </c:ext>
          </c:extLst>
        </c:ser>
        <c:dLbls>
          <c:showLegendKey val="0"/>
          <c:showVal val="0"/>
          <c:showCatName val="0"/>
          <c:showSerName val="0"/>
          <c:showPercent val="0"/>
          <c:showBubbleSize val="0"/>
        </c:dLbls>
        <c:smooth val="0"/>
        <c:axId val="449134000"/>
        <c:axId val="449134392"/>
      </c:lineChart>
      <c:catAx>
        <c:axId val="4491340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134392"/>
        <c:crosses val="autoZero"/>
        <c:auto val="1"/>
        <c:lblAlgn val="ctr"/>
        <c:lblOffset val="100"/>
        <c:noMultiLvlLbl val="0"/>
      </c:catAx>
      <c:valAx>
        <c:axId val="449134392"/>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1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250166</xdr:colOff>
          <xdr:row>9</xdr:row>
          <xdr:rowOff>25879</xdr:rowOff>
        </xdr:from>
        <xdr:to>
          <xdr:col>1</xdr:col>
          <xdr:colOff>1164566</xdr:colOff>
          <xdr:row>12</xdr:row>
          <xdr:rowOff>146649</xdr:rowOff>
        </xdr:to>
        <xdr:sp macro="" textlink="">
          <xdr:nvSpPr>
            <xdr:cNvPr id="29699" name="Object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428624</xdr:colOff>
      <xdr:row>124</xdr:row>
      <xdr:rowOff>168274</xdr:rowOff>
    </xdr:from>
    <xdr:to>
      <xdr:col>14</xdr:col>
      <xdr:colOff>571499</xdr:colOff>
      <xdr:row>144</xdr:row>
      <xdr:rowOff>95249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227541</xdr:colOff>
      <xdr:row>124</xdr:row>
      <xdr:rowOff>178859</xdr:rowOff>
    </xdr:from>
    <xdr:to>
      <xdr:col>24</xdr:col>
      <xdr:colOff>529167</xdr:colOff>
      <xdr:row>144</xdr:row>
      <xdr:rowOff>127000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5"/>
  <sheetViews>
    <sheetView showGridLines="0" tabSelected="1" workbookViewId="0">
      <selection activeCell="B14" sqref="B14"/>
    </sheetView>
  </sheetViews>
  <sheetFormatPr defaultColWidth="9.125" defaultRowHeight="14.3" x14ac:dyDescent="0.25"/>
  <cols>
    <col min="1" max="1" width="2.25" style="69" customWidth="1"/>
    <col min="2" max="2" width="97.875" style="69" customWidth="1"/>
    <col min="3" max="3" width="7" style="69" customWidth="1"/>
    <col min="4" max="5" width="9.125" style="69" customWidth="1"/>
    <col min="6" max="10" width="9.125" style="69"/>
    <col min="11" max="11" width="2.875" style="69" customWidth="1"/>
    <col min="12" max="12" width="1.875" style="69" customWidth="1"/>
    <col min="13" max="16384" width="9.125" style="69"/>
  </cols>
  <sheetData>
    <row r="2" spans="2:12" ht="17.350000000000001" customHeight="1" x14ac:dyDescent="0.3">
      <c r="B2" s="70" t="s">
        <v>97</v>
      </c>
      <c r="D2" s="73" t="s">
        <v>116</v>
      </c>
      <c r="E2" s="75"/>
      <c r="F2" s="75"/>
      <c r="G2" s="75"/>
      <c r="H2" s="75"/>
      <c r="I2" s="75"/>
      <c r="J2" s="75"/>
      <c r="K2" s="75"/>
      <c r="L2" s="77"/>
    </row>
    <row r="3" spans="2:12" ht="15.8" x14ac:dyDescent="0.25">
      <c r="D3" s="74"/>
      <c r="E3" s="76"/>
      <c r="F3" s="76"/>
      <c r="G3" s="76"/>
      <c r="H3" s="76"/>
      <c r="I3" s="76"/>
      <c r="J3" s="76"/>
      <c r="K3" s="76"/>
      <c r="L3" s="78"/>
    </row>
    <row r="4" spans="2:12" x14ac:dyDescent="0.25">
      <c r="D4" s="79" t="s">
        <v>117</v>
      </c>
      <c r="E4" s="80"/>
      <c r="F4" s="80"/>
      <c r="G4" s="80"/>
      <c r="H4" s="80"/>
      <c r="I4" s="80"/>
      <c r="J4" s="80"/>
      <c r="K4" s="81"/>
      <c r="L4" s="82"/>
    </row>
    <row r="5" spans="2:12" s="71" customFormat="1" ht="28.55" x14ac:dyDescent="0.25">
      <c r="B5" s="71" t="s">
        <v>118</v>
      </c>
      <c r="D5" s="79"/>
      <c r="E5" s="80"/>
      <c r="F5" s="80"/>
      <c r="G5" s="80"/>
      <c r="H5" s="80"/>
      <c r="I5" s="80"/>
      <c r="J5" s="80"/>
      <c r="K5" s="81"/>
      <c r="L5" s="82"/>
    </row>
    <row r="6" spans="2:12" x14ac:dyDescent="0.25">
      <c r="B6" s="69" t="s">
        <v>119</v>
      </c>
      <c r="D6" s="79"/>
      <c r="E6" s="80"/>
      <c r="F6" s="80"/>
      <c r="G6" s="80"/>
      <c r="H6" s="80"/>
      <c r="I6" s="80"/>
      <c r="J6" s="80"/>
      <c r="K6" s="81"/>
      <c r="L6" s="82"/>
    </row>
    <row r="7" spans="2:12" x14ac:dyDescent="0.25">
      <c r="B7" s="69" t="s">
        <v>120</v>
      </c>
      <c r="D7" s="79"/>
      <c r="E7" s="80"/>
      <c r="F7" s="80"/>
      <c r="G7" s="80"/>
      <c r="H7" s="80"/>
      <c r="I7" s="80"/>
      <c r="J7" s="80"/>
      <c r="K7" s="81"/>
      <c r="L7" s="82"/>
    </row>
    <row r="8" spans="2:12" x14ac:dyDescent="0.25">
      <c r="B8" s="69" t="s">
        <v>121</v>
      </c>
      <c r="D8" s="79"/>
      <c r="E8" s="80"/>
      <c r="F8" s="80"/>
      <c r="G8" s="80"/>
      <c r="H8" s="80"/>
      <c r="I8" s="80"/>
      <c r="J8" s="80"/>
      <c r="K8" s="81"/>
      <c r="L8" s="82"/>
    </row>
    <row r="9" spans="2:12" x14ac:dyDescent="0.25">
      <c r="D9" s="79"/>
      <c r="E9" s="80"/>
      <c r="F9" s="80"/>
      <c r="G9" s="80"/>
      <c r="H9" s="80"/>
      <c r="I9" s="80"/>
      <c r="J9" s="80"/>
      <c r="K9" s="81"/>
      <c r="L9" s="82"/>
    </row>
    <row r="10" spans="2:12" x14ac:dyDescent="0.25">
      <c r="D10" s="79"/>
      <c r="E10" s="80"/>
      <c r="F10" s="80"/>
      <c r="G10" s="80"/>
      <c r="H10" s="80"/>
      <c r="I10" s="80"/>
      <c r="J10" s="80"/>
      <c r="K10" s="81"/>
      <c r="L10" s="82"/>
    </row>
    <row r="11" spans="2:12" x14ac:dyDescent="0.25">
      <c r="D11" s="79"/>
      <c r="E11" s="80"/>
      <c r="F11" s="80"/>
      <c r="G11" s="80"/>
      <c r="H11" s="80"/>
      <c r="I11" s="80"/>
      <c r="J11" s="80"/>
      <c r="K11" s="81"/>
      <c r="L11" s="82"/>
    </row>
    <row r="12" spans="2:12" x14ac:dyDescent="0.25">
      <c r="D12" s="79"/>
      <c r="E12" s="80"/>
      <c r="F12" s="80"/>
      <c r="G12" s="80"/>
      <c r="H12" s="80"/>
      <c r="I12" s="80"/>
      <c r="J12" s="80"/>
      <c r="K12" s="81"/>
      <c r="L12" s="82"/>
    </row>
    <row r="13" spans="2:12" x14ac:dyDescent="0.25">
      <c r="D13" s="79"/>
      <c r="E13" s="80"/>
      <c r="F13" s="80"/>
      <c r="G13" s="80"/>
      <c r="H13" s="80"/>
      <c r="I13" s="80"/>
      <c r="J13" s="80"/>
      <c r="K13" s="81"/>
      <c r="L13" s="82"/>
    </row>
    <row r="14" spans="2:12" x14ac:dyDescent="0.25">
      <c r="D14" s="83"/>
      <c r="E14" s="84"/>
      <c r="F14" s="84"/>
      <c r="G14" s="84"/>
      <c r="H14" s="84"/>
      <c r="I14" s="84"/>
      <c r="J14" s="84"/>
      <c r="K14" s="85"/>
      <c r="L14" s="86"/>
    </row>
    <row r="15" spans="2:12" s="71" customFormat="1" ht="14.95" x14ac:dyDescent="0.25">
      <c r="B15" s="72"/>
    </row>
  </sheetData>
  <mergeCells count="1">
    <mergeCell ref="D4:L14"/>
  </mergeCells>
  <pageMargins left="0.25" right="0.25" top="0.75" bottom="0.75" header="0.3" footer="0.3"/>
  <pageSetup paperSize="7" orientation="landscape" r:id="rId1"/>
  <drawing r:id="rId2"/>
  <legacyDrawing r:id="rId3"/>
  <oleObjects>
    <mc:AlternateContent xmlns:mc="http://schemas.openxmlformats.org/markup-compatibility/2006">
      <mc:Choice Requires="x14">
        <oleObject progId="Document" dvAspect="DVASPECT_ICON" shapeId="29699" r:id="rId4">
          <objectPr defaultSize="0" r:id="rId5">
            <anchor moveWithCells="1">
              <from>
                <xdr:col>1</xdr:col>
                <xdr:colOff>250166</xdr:colOff>
                <xdr:row>9</xdr:row>
                <xdr:rowOff>25879</xdr:rowOff>
              </from>
              <to>
                <xdr:col>1</xdr:col>
                <xdr:colOff>1164566</xdr:colOff>
                <xdr:row>12</xdr:row>
                <xdr:rowOff>146649</xdr:rowOff>
              </to>
            </anchor>
          </objectPr>
        </oleObject>
      </mc:Choice>
      <mc:Fallback>
        <oleObject progId="Document" dvAspect="DVASPECT_ICON" shapeId="2969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zoomScale="80" zoomScaleNormal="80" workbookViewId="0"/>
  </sheetViews>
  <sheetFormatPr defaultColWidth="9.125" defaultRowHeight="14.3" x14ac:dyDescent="0.25"/>
  <cols>
    <col min="1" max="1" width="120.375" style="69" customWidth="1"/>
    <col min="2" max="16384" width="9.125" style="69"/>
  </cols>
  <sheetData>
    <row r="1" spans="1:1" ht="14.95" x14ac:dyDescent="0.25">
      <c r="A1" s="70" t="s">
        <v>122</v>
      </c>
    </row>
    <row r="3" spans="1:1" ht="14.95" x14ac:dyDescent="0.25">
      <c r="A3" s="69" t="s">
        <v>98</v>
      </c>
    </row>
    <row r="5" spans="1:1" s="71" customFormat="1" ht="30.1" x14ac:dyDescent="0.25">
      <c r="A5" s="71" t="s">
        <v>99</v>
      </c>
    </row>
    <row r="7" spans="1:1" ht="14.95" x14ac:dyDescent="0.25">
      <c r="A7" s="69" t="s">
        <v>100</v>
      </c>
    </row>
    <row r="9" spans="1:1" ht="14.95" x14ac:dyDescent="0.25">
      <c r="A9" s="69" t="s">
        <v>101</v>
      </c>
    </row>
    <row r="10" spans="1:1" ht="14.95" x14ac:dyDescent="0.25">
      <c r="A10" s="69" t="s">
        <v>102</v>
      </c>
    </row>
    <row r="11" spans="1:1" ht="14.95" x14ac:dyDescent="0.25">
      <c r="A11" s="69" t="s">
        <v>103</v>
      </c>
    </row>
    <row r="12" spans="1:1" ht="14.95" x14ac:dyDescent="0.25">
      <c r="A12" s="69" t="s">
        <v>104</v>
      </c>
    </row>
    <row r="13" spans="1:1" ht="14.95" x14ac:dyDescent="0.25">
      <c r="A13" s="69" t="s">
        <v>105</v>
      </c>
    </row>
    <row r="14" spans="1:1" s="71" customFormat="1" ht="30.1" x14ac:dyDescent="0.25">
      <c r="A14" s="71" t="s">
        <v>106</v>
      </c>
    </row>
    <row r="15" spans="1:1" ht="14.95" x14ac:dyDescent="0.25">
      <c r="A15" s="69" t="s">
        <v>107</v>
      </c>
    </row>
    <row r="16" spans="1:1" ht="14.95" x14ac:dyDescent="0.25">
      <c r="A16" s="69" t="s">
        <v>108</v>
      </c>
    </row>
    <row r="17" spans="1:1" ht="14.95" x14ac:dyDescent="0.25">
      <c r="A17" s="69" t="s">
        <v>109</v>
      </c>
    </row>
    <row r="18" spans="1:1" ht="14.95" x14ac:dyDescent="0.25">
      <c r="A18" s="69" t="s">
        <v>110</v>
      </c>
    </row>
    <row r="19" spans="1:1" ht="14.95" x14ac:dyDescent="0.25">
      <c r="A19" s="69" t="s">
        <v>111</v>
      </c>
    </row>
    <row r="22" spans="1:1" ht="14.95" x14ac:dyDescent="0.25">
      <c r="A22" s="69" t="s">
        <v>112</v>
      </c>
    </row>
    <row r="23" spans="1:1" ht="14.95" x14ac:dyDescent="0.25">
      <c r="A23" s="69" t="s">
        <v>113</v>
      </c>
    </row>
    <row r="24" spans="1:1" ht="14.95" x14ac:dyDescent="0.25">
      <c r="A24" s="69" t="s">
        <v>114</v>
      </c>
    </row>
    <row r="25" spans="1:1" ht="14.95" x14ac:dyDescent="0.25">
      <c r="A25" s="69"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72"/>
  <sheetViews>
    <sheetView zoomScale="90" zoomScaleNormal="90" workbookViewId="0">
      <pane xSplit="3" ySplit="5" topLeftCell="D6" activePane="bottomRight" state="frozen"/>
      <selection pane="topRight" activeCell="D1" sqref="D1"/>
      <selection pane="bottomLeft" activeCell="A6" sqref="A6"/>
      <selection pane="bottomRight" activeCell="B3" sqref="B3"/>
    </sheetView>
  </sheetViews>
  <sheetFormatPr defaultColWidth="9.125" defaultRowHeight="14.3" x14ac:dyDescent="0.25"/>
  <cols>
    <col min="1" max="1" width="4.125" style="2" customWidth="1"/>
    <col min="2" max="2" width="9.125" style="2" customWidth="1"/>
    <col min="3" max="3" width="47.625" style="2" customWidth="1"/>
    <col min="4" max="4" width="11" style="2" customWidth="1"/>
    <col min="5" max="16384" width="9.125" style="2"/>
  </cols>
  <sheetData>
    <row r="2" spans="2:23" ht="15.8" x14ac:dyDescent="0.25">
      <c r="B2" s="13" t="s">
        <v>123</v>
      </c>
    </row>
    <row r="3" spans="2:23" ht="14.95" x14ac:dyDescent="0.25">
      <c r="B3" s="4"/>
    </row>
    <row r="4" spans="2:23" ht="14.95" x14ac:dyDescent="0.25">
      <c r="B4" s="4"/>
    </row>
    <row r="5" spans="2:23" ht="14.95" x14ac:dyDescent="0.25">
      <c r="D5" s="1">
        <v>1</v>
      </c>
      <c r="E5" s="1">
        <f t="shared" ref="E5:W5" si="0">D5+1</f>
        <v>2</v>
      </c>
      <c r="F5" s="1">
        <f t="shared" si="0"/>
        <v>3</v>
      </c>
      <c r="G5" s="1">
        <f t="shared" si="0"/>
        <v>4</v>
      </c>
      <c r="H5" s="1">
        <f t="shared" si="0"/>
        <v>5</v>
      </c>
      <c r="I5" s="1">
        <f t="shared" si="0"/>
        <v>6</v>
      </c>
      <c r="J5" s="1">
        <f t="shared" si="0"/>
        <v>7</v>
      </c>
      <c r="K5" s="1">
        <f t="shared" si="0"/>
        <v>8</v>
      </c>
      <c r="L5" s="1">
        <f t="shared" si="0"/>
        <v>9</v>
      </c>
      <c r="M5" s="1">
        <f t="shared" si="0"/>
        <v>10</v>
      </c>
      <c r="N5" s="1">
        <f t="shared" si="0"/>
        <v>11</v>
      </c>
      <c r="O5" s="1">
        <f t="shared" si="0"/>
        <v>12</v>
      </c>
      <c r="P5" s="1">
        <f t="shared" si="0"/>
        <v>13</v>
      </c>
      <c r="Q5" s="1">
        <f t="shared" si="0"/>
        <v>14</v>
      </c>
      <c r="R5" s="1">
        <f t="shared" si="0"/>
        <v>15</v>
      </c>
      <c r="S5" s="1">
        <f t="shared" si="0"/>
        <v>16</v>
      </c>
      <c r="T5" s="1">
        <f t="shared" si="0"/>
        <v>17</v>
      </c>
      <c r="U5" s="1">
        <f t="shared" si="0"/>
        <v>18</v>
      </c>
      <c r="V5" s="1">
        <f t="shared" si="0"/>
        <v>19</v>
      </c>
      <c r="W5" s="1">
        <f t="shared" si="0"/>
        <v>20</v>
      </c>
    </row>
    <row r="6" spans="2:23" ht="14.95" x14ac:dyDescent="0.25">
      <c r="C6" s="2" t="s">
        <v>63</v>
      </c>
      <c r="D6" s="67">
        <v>200000</v>
      </c>
    </row>
    <row r="7" spans="2:23" ht="14.95" x14ac:dyDescent="0.25">
      <c r="C7" s="2" t="s">
        <v>3</v>
      </c>
      <c r="D7" s="2">
        <v>1000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row>
    <row r="8" spans="2:23" ht="14.95" x14ac:dyDescent="0.25">
      <c r="C8" s="2" t="s">
        <v>17</v>
      </c>
      <c r="D8" s="15">
        <v>0.7</v>
      </c>
      <c r="E8" s="15">
        <v>0.7</v>
      </c>
      <c r="F8" s="15">
        <v>0.7</v>
      </c>
      <c r="G8" s="15">
        <v>0.7</v>
      </c>
      <c r="H8" s="15">
        <v>0.7</v>
      </c>
      <c r="I8" s="15">
        <v>0.7</v>
      </c>
      <c r="J8" s="15">
        <v>0.7</v>
      </c>
      <c r="K8" s="15">
        <v>0.7</v>
      </c>
      <c r="L8" s="15">
        <v>0.7</v>
      </c>
      <c r="M8" s="15">
        <v>0.7</v>
      </c>
      <c r="N8" s="15">
        <v>3</v>
      </c>
      <c r="O8" s="15">
        <v>3</v>
      </c>
      <c r="P8" s="15">
        <v>3</v>
      </c>
      <c r="Q8" s="15">
        <v>3</v>
      </c>
      <c r="R8" s="15">
        <v>3</v>
      </c>
      <c r="S8" s="15">
        <v>3</v>
      </c>
      <c r="T8" s="15">
        <v>3</v>
      </c>
      <c r="U8" s="15">
        <v>3</v>
      </c>
      <c r="V8" s="15">
        <v>3</v>
      </c>
      <c r="W8" s="15">
        <v>3</v>
      </c>
    </row>
    <row r="9" spans="2:23" ht="14.95" x14ac:dyDescent="0.25">
      <c r="B9" s="3"/>
      <c r="C9" s="6" t="s">
        <v>6</v>
      </c>
      <c r="D9" s="14">
        <v>65</v>
      </c>
      <c r="E9" s="14">
        <v>65</v>
      </c>
      <c r="F9" s="14">
        <v>65</v>
      </c>
      <c r="G9" s="14">
        <v>65</v>
      </c>
      <c r="H9" s="14">
        <v>65</v>
      </c>
      <c r="I9" s="14">
        <v>65</v>
      </c>
      <c r="J9" s="14">
        <v>65</v>
      </c>
      <c r="K9" s="14">
        <v>65</v>
      </c>
      <c r="L9" s="14">
        <v>65</v>
      </c>
      <c r="M9" s="14">
        <v>65</v>
      </c>
      <c r="N9" s="14">
        <v>65</v>
      </c>
      <c r="O9" s="14">
        <v>65</v>
      </c>
      <c r="P9" s="14">
        <v>65</v>
      </c>
      <c r="Q9" s="14">
        <v>65</v>
      </c>
      <c r="R9" s="14">
        <v>65</v>
      </c>
      <c r="S9" s="14">
        <v>65</v>
      </c>
      <c r="T9" s="14">
        <v>65</v>
      </c>
      <c r="U9" s="14">
        <v>65</v>
      </c>
      <c r="V9" s="14">
        <v>65</v>
      </c>
      <c r="W9" s="14">
        <v>65</v>
      </c>
    </row>
    <row r="10" spans="2:23" ht="14.95" x14ac:dyDescent="0.25">
      <c r="C10" s="2" t="s">
        <v>11</v>
      </c>
      <c r="D10" s="10">
        <v>0.8</v>
      </c>
      <c r="E10" s="10">
        <v>0.05</v>
      </c>
      <c r="F10" s="10">
        <v>0.05</v>
      </c>
      <c r="G10" s="10">
        <v>0.05</v>
      </c>
      <c r="H10" s="10">
        <v>0.05</v>
      </c>
      <c r="I10" s="10">
        <v>0.05</v>
      </c>
      <c r="J10" s="10">
        <v>0.05</v>
      </c>
      <c r="K10" s="10">
        <v>0.05</v>
      </c>
      <c r="L10" s="10">
        <v>0.05</v>
      </c>
      <c r="M10" s="10">
        <v>0.05</v>
      </c>
      <c r="N10" s="10">
        <v>0.05</v>
      </c>
      <c r="O10" s="10">
        <v>0.05</v>
      </c>
      <c r="P10" s="10">
        <v>0.05</v>
      </c>
      <c r="Q10" s="10">
        <v>0.05</v>
      </c>
      <c r="R10" s="10">
        <v>0.05</v>
      </c>
      <c r="S10" s="10">
        <v>0.05</v>
      </c>
      <c r="T10" s="10">
        <v>0.05</v>
      </c>
      <c r="U10" s="10">
        <v>0.05</v>
      </c>
      <c r="V10" s="10">
        <v>0.05</v>
      </c>
      <c r="W10" s="10">
        <v>0.05</v>
      </c>
    </row>
    <row r="11" spans="2:23" ht="14.95" x14ac:dyDescent="0.25">
      <c r="C11" s="2" t="s">
        <v>12</v>
      </c>
      <c r="D11" s="14">
        <v>40</v>
      </c>
      <c r="E11" s="14"/>
      <c r="F11" s="14"/>
      <c r="G11" s="14"/>
      <c r="H11" s="14"/>
      <c r="I11" s="14"/>
      <c r="J11" s="14"/>
      <c r="K11" s="14"/>
      <c r="L11" s="14"/>
      <c r="M11" s="14"/>
      <c r="N11" s="14"/>
      <c r="O11" s="14"/>
      <c r="P11" s="14"/>
      <c r="Q11" s="14"/>
      <c r="R11" s="14"/>
      <c r="S11" s="14"/>
      <c r="T11" s="14"/>
      <c r="U11" s="14"/>
      <c r="V11" s="14"/>
      <c r="W11" s="14"/>
    </row>
    <row r="12" spans="2:23" ht="14.95" x14ac:dyDescent="0.25">
      <c r="C12" s="2" t="s">
        <v>13</v>
      </c>
      <c r="D12" s="18">
        <v>60</v>
      </c>
      <c r="E12" s="14"/>
      <c r="F12" s="14"/>
      <c r="G12" s="14"/>
      <c r="H12" s="14"/>
      <c r="I12" s="14"/>
      <c r="J12" s="14"/>
      <c r="K12" s="14"/>
      <c r="L12" s="14"/>
      <c r="M12" s="14"/>
      <c r="N12" s="14"/>
      <c r="O12" s="14"/>
      <c r="P12" s="14"/>
      <c r="Q12" s="14"/>
      <c r="R12" s="14"/>
      <c r="S12" s="14"/>
      <c r="T12" s="14"/>
      <c r="U12" s="14"/>
      <c r="V12" s="14"/>
      <c r="W12" s="14"/>
    </row>
    <row r="13" spans="2:23" ht="14.95" x14ac:dyDescent="0.25">
      <c r="B13" s="3"/>
      <c r="C13" s="6" t="s">
        <v>66</v>
      </c>
      <c r="D13" s="14">
        <v>30</v>
      </c>
      <c r="E13" s="14">
        <v>30</v>
      </c>
      <c r="F13" s="14">
        <v>30</v>
      </c>
      <c r="G13" s="14">
        <v>30</v>
      </c>
      <c r="H13" s="14">
        <v>30</v>
      </c>
      <c r="I13" s="14">
        <v>30</v>
      </c>
      <c r="J13" s="14">
        <v>30</v>
      </c>
      <c r="K13" s="14">
        <v>30</v>
      </c>
      <c r="L13" s="14">
        <v>30</v>
      </c>
      <c r="M13" s="14">
        <v>30</v>
      </c>
      <c r="N13" s="14">
        <v>30</v>
      </c>
      <c r="O13" s="14">
        <v>30</v>
      </c>
      <c r="P13" s="14">
        <v>30</v>
      </c>
      <c r="Q13" s="14">
        <v>30</v>
      </c>
      <c r="R13" s="14">
        <v>30</v>
      </c>
      <c r="S13" s="14">
        <v>30</v>
      </c>
      <c r="T13" s="14">
        <v>30</v>
      </c>
      <c r="U13" s="14">
        <v>30</v>
      </c>
      <c r="V13" s="14">
        <v>30</v>
      </c>
      <c r="W13" s="14">
        <v>30</v>
      </c>
    </row>
    <row r="14" spans="2:23" ht="14.95" x14ac:dyDescent="0.25">
      <c r="B14" s="3"/>
      <c r="C14" s="6" t="s">
        <v>67</v>
      </c>
      <c r="D14" s="14">
        <v>20</v>
      </c>
      <c r="E14" s="14">
        <v>20</v>
      </c>
      <c r="F14" s="14">
        <v>20</v>
      </c>
      <c r="G14" s="14">
        <v>20</v>
      </c>
      <c r="H14" s="14">
        <v>20</v>
      </c>
      <c r="I14" s="14">
        <v>20</v>
      </c>
      <c r="J14" s="14">
        <v>20</v>
      </c>
      <c r="K14" s="14">
        <v>20</v>
      </c>
      <c r="L14" s="14">
        <v>20</v>
      </c>
      <c r="M14" s="14">
        <v>20</v>
      </c>
      <c r="N14" s="14">
        <v>20</v>
      </c>
      <c r="O14" s="14">
        <v>20</v>
      </c>
      <c r="P14" s="14">
        <v>20</v>
      </c>
      <c r="Q14" s="14">
        <v>20</v>
      </c>
      <c r="R14" s="14">
        <v>20</v>
      </c>
      <c r="S14" s="14">
        <v>20</v>
      </c>
      <c r="T14" s="14">
        <v>20</v>
      </c>
      <c r="U14" s="14">
        <v>20</v>
      </c>
      <c r="V14" s="14">
        <v>20</v>
      </c>
      <c r="W14" s="14">
        <v>20</v>
      </c>
    </row>
    <row r="15" spans="2:23" ht="14.95" x14ac:dyDescent="0.25">
      <c r="B15" s="3"/>
      <c r="C15" s="6" t="s">
        <v>7</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row>
    <row r="16" spans="2:23" ht="14.95" x14ac:dyDescent="0.25">
      <c r="B16" s="3"/>
      <c r="C16" s="6" t="s">
        <v>8</v>
      </c>
      <c r="D16" s="10">
        <v>0</v>
      </c>
      <c r="E16" s="10">
        <v>0</v>
      </c>
      <c r="F16" s="10">
        <v>0</v>
      </c>
      <c r="G16" s="10">
        <v>0</v>
      </c>
      <c r="H16" s="10">
        <v>0</v>
      </c>
      <c r="I16" s="10">
        <v>0</v>
      </c>
      <c r="J16" s="10">
        <v>0</v>
      </c>
      <c r="K16" s="10">
        <v>0</v>
      </c>
      <c r="L16" s="10">
        <v>0</v>
      </c>
      <c r="M16" s="10">
        <v>0</v>
      </c>
      <c r="N16" s="10">
        <v>0</v>
      </c>
      <c r="O16" s="10">
        <v>0</v>
      </c>
      <c r="P16" s="10">
        <v>0</v>
      </c>
      <c r="Q16" s="10">
        <v>0</v>
      </c>
      <c r="R16" s="10">
        <v>0</v>
      </c>
      <c r="S16" s="10">
        <v>0</v>
      </c>
      <c r="T16" s="10">
        <v>0</v>
      </c>
      <c r="U16" s="10">
        <v>0</v>
      </c>
      <c r="V16" s="10">
        <v>0</v>
      </c>
      <c r="W16" s="10">
        <v>0</v>
      </c>
    </row>
    <row r="17" spans="2:23" ht="14.95" x14ac:dyDescent="0.25">
      <c r="B17" s="3"/>
      <c r="C17" s="6" t="s">
        <v>70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row>
    <row r="18" spans="2:23" ht="14.95" x14ac:dyDescent="0.25">
      <c r="C18" s="2" t="s">
        <v>71</v>
      </c>
      <c r="D18" s="17">
        <v>0.04</v>
      </c>
      <c r="E18" s="17">
        <v>0.04</v>
      </c>
      <c r="F18" s="17">
        <v>0.04</v>
      </c>
      <c r="G18" s="17">
        <v>0.04</v>
      </c>
      <c r="H18" s="17">
        <v>0.04</v>
      </c>
      <c r="I18" s="17">
        <v>0.04</v>
      </c>
      <c r="J18" s="17">
        <v>0.04</v>
      </c>
      <c r="K18" s="17">
        <v>0.04</v>
      </c>
      <c r="L18" s="17">
        <v>0.04</v>
      </c>
      <c r="M18" s="17">
        <v>0.04</v>
      </c>
      <c r="N18" s="17">
        <v>0.04</v>
      </c>
      <c r="O18" s="17">
        <v>0.04</v>
      </c>
      <c r="P18" s="17">
        <v>0.04</v>
      </c>
      <c r="Q18" s="17">
        <v>0.04</v>
      </c>
      <c r="R18" s="17">
        <v>0.04</v>
      </c>
      <c r="S18" s="17">
        <v>0.04</v>
      </c>
      <c r="T18" s="17">
        <v>0.04</v>
      </c>
      <c r="U18" s="17">
        <v>0.04</v>
      </c>
      <c r="V18" s="17">
        <v>0.04</v>
      </c>
      <c r="W18" s="17">
        <v>0.04</v>
      </c>
    </row>
    <row r="19" spans="2:23" ht="14.95" x14ac:dyDescent="0.25">
      <c r="C19" s="2" t="s">
        <v>50</v>
      </c>
      <c r="D19" s="55">
        <v>4.4999999999999998E-2</v>
      </c>
      <c r="E19" s="55">
        <v>4.4999999999999998E-2</v>
      </c>
      <c r="F19" s="55">
        <v>4.4999999999999998E-2</v>
      </c>
      <c r="G19" s="55">
        <v>4.4999999999999998E-2</v>
      </c>
      <c r="H19" s="55">
        <v>4.4999999999999998E-2</v>
      </c>
      <c r="I19" s="55">
        <v>4.4999999999999998E-2</v>
      </c>
      <c r="J19" s="55">
        <v>4.4999999999999998E-2</v>
      </c>
      <c r="K19" s="55">
        <v>4.4999999999999998E-2</v>
      </c>
      <c r="L19" s="55">
        <v>4.4999999999999998E-2</v>
      </c>
      <c r="M19" s="55">
        <v>4.4999999999999998E-2</v>
      </c>
      <c r="N19" s="55">
        <v>4.4999999999999998E-2</v>
      </c>
      <c r="O19" s="55">
        <v>4.4999999999999998E-2</v>
      </c>
      <c r="P19" s="55">
        <v>4.4999999999999998E-2</v>
      </c>
      <c r="Q19" s="55">
        <v>4.4999999999999998E-2</v>
      </c>
      <c r="R19" s="55">
        <v>4.4999999999999998E-2</v>
      </c>
      <c r="S19" s="55">
        <v>4.4999999999999998E-2</v>
      </c>
      <c r="T19" s="55">
        <v>4.4999999999999998E-2</v>
      </c>
      <c r="U19" s="55">
        <v>4.4999999999999998E-2</v>
      </c>
      <c r="V19" s="55">
        <v>4.4999999999999998E-2</v>
      </c>
      <c r="W19" s="55">
        <v>4.4999999999999998E-2</v>
      </c>
    </row>
    <row r="20" spans="2:23" ht="14.95" x14ac:dyDescent="0.25">
      <c r="C20" s="2" t="s">
        <v>10</v>
      </c>
      <c r="D20" s="17">
        <f>D18</f>
        <v>0.04</v>
      </c>
      <c r="E20" s="17">
        <f t="shared" ref="E20:W20" si="1">E18</f>
        <v>0.04</v>
      </c>
      <c r="F20" s="17">
        <f t="shared" si="1"/>
        <v>0.04</v>
      </c>
      <c r="G20" s="17">
        <f t="shared" si="1"/>
        <v>0.04</v>
      </c>
      <c r="H20" s="17">
        <f t="shared" si="1"/>
        <v>0.04</v>
      </c>
      <c r="I20" s="17">
        <f t="shared" si="1"/>
        <v>0.04</v>
      </c>
      <c r="J20" s="17">
        <f t="shared" si="1"/>
        <v>0.04</v>
      </c>
      <c r="K20" s="17">
        <f t="shared" si="1"/>
        <v>0.04</v>
      </c>
      <c r="L20" s="17">
        <f t="shared" si="1"/>
        <v>0.04</v>
      </c>
      <c r="M20" s="17">
        <f t="shared" si="1"/>
        <v>0.04</v>
      </c>
      <c r="N20" s="17">
        <f t="shared" si="1"/>
        <v>0.04</v>
      </c>
      <c r="O20" s="17">
        <f t="shared" si="1"/>
        <v>0.04</v>
      </c>
      <c r="P20" s="17">
        <f t="shared" si="1"/>
        <v>0.04</v>
      </c>
      <c r="Q20" s="17">
        <f t="shared" si="1"/>
        <v>0.04</v>
      </c>
      <c r="R20" s="17">
        <f t="shared" si="1"/>
        <v>0.04</v>
      </c>
      <c r="S20" s="17">
        <f t="shared" si="1"/>
        <v>0.04</v>
      </c>
      <c r="T20" s="17">
        <f t="shared" si="1"/>
        <v>0.04</v>
      </c>
      <c r="U20" s="17">
        <f t="shared" si="1"/>
        <v>0.04</v>
      </c>
      <c r="V20" s="17">
        <f t="shared" si="1"/>
        <v>0.04</v>
      </c>
      <c r="W20" s="17">
        <f t="shared" si="1"/>
        <v>0.04</v>
      </c>
    </row>
    <row r="21" spans="2:23" ht="14.95" x14ac:dyDescent="0.25">
      <c r="C21" s="2" t="s">
        <v>5</v>
      </c>
      <c r="D21" s="10">
        <v>0.05</v>
      </c>
      <c r="E21" s="10">
        <v>0.05</v>
      </c>
      <c r="F21" s="10">
        <v>0.05</v>
      </c>
      <c r="G21" s="10">
        <v>0.05</v>
      </c>
      <c r="H21" s="10">
        <v>0.05</v>
      </c>
      <c r="I21" s="10">
        <v>0.05</v>
      </c>
      <c r="J21" s="10">
        <v>0.05</v>
      </c>
      <c r="K21" s="10">
        <v>0.05</v>
      </c>
      <c r="L21" s="10">
        <v>0.05</v>
      </c>
      <c r="M21" s="10">
        <v>0.75</v>
      </c>
      <c r="N21" s="10">
        <v>0.05</v>
      </c>
      <c r="O21" s="10">
        <v>0.05</v>
      </c>
      <c r="P21" s="10">
        <v>0.05</v>
      </c>
      <c r="Q21" s="10">
        <v>0.05</v>
      </c>
      <c r="R21" s="10">
        <v>0.05</v>
      </c>
      <c r="S21" s="10">
        <v>0.05</v>
      </c>
      <c r="T21" s="10">
        <v>0.05</v>
      </c>
      <c r="U21" s="10">
        <v>0.05</v>
      </c>
      <c r="V21" s="10">
        <v>0.05</v>
      </c>
      <c r="W21" s="10">
        <v>1</v>
      </c>
    </row>
    <row r="22" spans="2:23" ht="14.95" x14ac:dyDescent="0.25">
      <c r="C22" s="2" t="s">
        <v>4</v>
      </c>
      <c r="D22" s="16">
        <v>4.0000000000000002E-4</v>
      </c>
      <c r="E22" s="16">
        <v>4.0000000000000002E-4</v>
      </c>
      <c r="F22" s="16">
        <v>5.0000000000000001E-4</v>
      </c>
      <c r="G22" s="16">
        <v>5.0000000000000001E-4</v>
      </c>
      <c r="H22" s="16">
        <v>6.0000000000000006E-4</v>
      </c>
      <c r="I22" s="16">
        <v>6.9999999999999999E-4</v>
      </c>
      <c r="J22" s="16">
        <v>6.9999999999999999E-4</v>
      </c>
      <c r="K22" s="16">
        <v>8.0000000000000004E-4</v>
      </c>
      <c r="L22" s="16">
        <v>8.9999999999999998E-4</v>
      </c>
      <c r="M22" s="16">
        <v>1E-3</v>
      </c>
      <c r="N22" s="16">
        <f>0.11%*(1+N23)</f>
        <v>1.9250000000000001E-3</v>
      </c>
      <c r="O22" s="16">
        <f>0.13%*(1+N23)</f>
        <v>2.2750000000000001E-3</v>
      </c>
      <c r="P22" s="16">
        <f>0.14%*(1+N23)</f>
        <v>2.4500000000000004E-3</v>
      </c>
      <c r="Q22" s="16">
        <f>0.15%*(1+N23)</f>
        <v>2.6250000000000002E-3</v>
      </c>
      <c r="R22" s="16">
        <f>0.17%*(1+N23)</f>
        <v>2.9750000000000002E-3</v>
      </c>
      <c r="S22" s="16">
        <f>0.18%*(1+N23)</f>
        <v>3.15E-3</v>
      </c>
      <c r="T22" s="16">
        <f>0.19%*(1+N23)</f>
        <v>3.3249999999999998E-3</v>
      </c>
      <c r="U22" s="16">
        <f>0.21%*(1+N23)</f>
        <v>3.6749999999999999E-3</v>
      </c>
      <c r="V22" s="16">
        <f>0.23%*(1+N23)</f>
        <v>4.0249999999999999E-3</v>
      </c>
      <c r="W22" s="16">
        <f>0.23%*(1+N23)</f>
        <v>4.0249999999999999E-3</v>
      </c>
    </row>
    <row r="23" spans="2:23" ht="14.95" x14ac:dyDescent="0.25">
      <c r="C23" s="2" t="s">
        <v>51</v>
      </c>
      <c r="D23" s="16"/>
      <c r="E23" s="16"/>
      <c r="F23" s="16"/>
      <c r="G23" s="16"/>
      <c r="H23" s="16"/>
      <c r="I23" s="16"/>
      <c r="J23" s="16"/>
      <c r="K23" s="16"/>
      <c r="L23" s="16"/>
      <c r="M23" s="16"/>
      <c r="N23" s="56">
        <v>0.75</v>
      </c>
      <c r="O23" s="56">
        <v>0.75</v>
      </c>
      <c r="P23" s="56">
        <v>0.75</v>
      </c>
      <c r="Q23" s="56">
        <v>0.75</v>
      </c>
      <c r="R23" s="56">
        <v>0.75</v>
      </c>
      <c r="S23" s="56">
        <v>0.75</v>
      </c>
      <c r="T23" s="56">
        <v>0.75</v>
      </c>
      <c r="U23" s="56">
        <v>0.75</v>
      </c>
      <c r="V23" s="56">
        <v>0.75</v>
      </c>
      <c r="W23" s="56">
        <v>0.75</v>
      </c>
    </row>
    <row r="24" spans="2:23" ht="14.95" x14ac:dyDescent="0.25">
      <c r="C24" s="2" t="s">
        <v>65</v>
      </c>
      <c r="D24" s="10">
        <v>0.1</v>
      </c>
      <c r="E24" s="10">
        <v>0.1</v>
      </c>
      <c r="F24" s="10">
        <v>0.1</v>
      </c>
      <c r="G24" s="10">
        <v>0.1</v>
      </c>
      <c r="H24" s="10">
        <v>0.1</v>
      </c>
      <c r="I24" s="10">
        <v>0.1</v>
      </c>
      <c r="J24" s="10">
        <v>0.1</v>
      </c>
      <c r="K24" s="10">
        <v>0.1</v>
      </c>
      <c r="L24" s="10">
        <v>0.1</v>
      </c>
      <c r="M24" s="10">
        <v>0.1</v>
      </c>
      <c r="N24" s="10">
        <v>0.1</v>
      </c>
      <c r="O24" s="10">
        <v>0.1</v>
      </c>
      <c r="P24" s="10">
        <v>0.1</v>
      </c>
      <c r="Q24" s="10">
        <v>0.1</v>
      </c>
      <c r="R24" s="10">
        <v>0.1</v>
      </c>
      <c r="S24" s="10">
        <v>0.1</v>
      </c>
      <c r="T24" s="10">
        <v>0.1</v>
      </c>
      <c r="U24" s="10">
        <v>0.1</v>
      </c>
      <c r="V24" s="10">
        <v>0.1</v>
      </c>
      <c r="W24" s="10">
        <v>0.1</v>
      </c>
    </row>
    <row r="26" spans="2:23" ht="14.95" x14ac:dyDescent="0.25">
      <c r="C26" s="9" t="s">
        <v>48</v>
      </c>
    </row>
    <row r="27" spans="2:23" ht="14.95" x14ac:dyDescent="0.25">
      <c r="C27" s="9" t="s">
        <v>64</v>
      </c>
    </row>
    <row r="28" spans="2:23" ht="14.95" x14ac:dyDescent="0.25">
      <c r="B28" s="3"/>
      <c r="C28" s="40" t="s">
        <v>42</v>
      </c>
      <c r="D28" s="3"/>
      <c r="E28" s="3"/>
      <c r="F28" s="3"/>
      <c r="G28" s="3"/>
      <c r="H28" s="3"/>
      <c r="I28" s="3"/>
      <c r="J28" s="3"/>
      <c r="K28" s="3"/>
      <c r="L28" s="3"/>
      <c r="M28" s="3"/>
      <c r="N28" s="3"/>
      <c r="O28" s="3"/>
      <c r="P28" s="3"/>
      <c r="Q28" s="3"/>
      <c r="R28" s="3"/>
      <c r="S28" s="3"/>
      <c r="T28" s="3"/>
      <c r="U28" s="3"/>
      <c r="V28" s="3"/>
      <c r="W28" s="3"/>
    </row>
    <row r="29" spans="2:23" ht="14.95" x14ac:dyDescent="0.25">
      <c r="B29" s="3"/>
      <c r="C29" s="40" t="s">
        <v>46</v>
      </c>
      <c r="D29" s="3"/>
      <c r="E29" s="3"/>
      <c r="F29" s="3"/>
      <c r="G29" s="3"/>
      <c r="H29" s="3"/>
      <c r="I29" s="3"/>
      <c r="J29" s="3"/>
      <c r="K29" s="3"/>
      <c r="L29" s="3"/>
      <c r="M29" s="3"/>
      <c r="N29" s="3"/>
      <c r="O29" s="3"/>
      <c r="P29" s="3"/>
      <c r="Q29" s="3"/>
      <c r="R29" s="3"/>
      <c r="S29" s="3"/>
      <c r="T29" s="3"/>
      <c r="U29" s="3"/>
      <c r="V29" s="3"/>
      <c r="W29" s="3"/>
    </row>
    <row r="30" spans="2:23" ht="14.95" x14ac:dyDescent="0.25">
      <c r="B30" s="3"/>
      <c r="C30" s="40" t="s">
        <v>49</v>
      </c>
      <c r="D30" s="3"/>
      <c r="E30" s="3"/>
      <c r="F30" s="3"/>
      <c r="G30" s="3"/>
      <c r="H30" s="3"/>
      <c r="I30" s="3"/>
      <c r="J30" s="3"/>
      <c r="K30" s="3"/>
      <c r="L30" s="3"/>
      <c r="M30" s="3"/>
      <c r="N30" s="3"/>
      <c r="O30" s="3"/>
      <c r="P30" s="3"/>
      <c r="Q30" s="3"/>
      <c r="R30" s="3"/>
      <c r="S30" s="3"/>
      <c r="T30" s="3"/>
      <c r="U30" s="3"/>
      <c r="V30" s="3"/>
      <c r="W30" s="3"/>
    </row>
    <row r="32" spans="2:23" ht="14.95" x14ac:dyDescent="0.25">
      <c r="C32" s="2" t="s">
        <v>72</v>
      </c>
      <c r="D32" s="14">
        <v>30</v>
      </c>
      <c r="E32" s="14">
        <v>30</v>
      </c>
      <c r="F32" s="42">
        <v>35</v>
      </c>
      <c r="G32" s="42">
        <v>35</v>
      </c>
      <c r="H32" s="42">
        <v>35</v>
      </c>
      <c r="I32" s="42">
        <v>35</v>
      </c>
      <c r="J32" s="42">
        <v>35</v>
      </c>
      <c r="K32" s="42">
        <v>35</v>
      </c>
      <c r="L32" s="42">
        <v>35</v>
      </c>
      <c r="M32" s="42">
        <v>35</v>
      </c>
      <c r="N32" s="42">
        <v>35</v>
      </c>
      <c r="O32" s="42">
        <v>35</v>
      </c>
      <c r="P32" s="42">
        <v>35</v>
      </c>
      <c r="Q32" s="42">
        <v>35</v>
      </c>
      <c r="R32" s="42">
        <v>35</v>
      </c>
      <c r="S32" s="42">
        <v>35</v>
      </c>
      <c r="T32" s="42">
        <v>35</v>
      </c>
      <c r="U32" s="42">
        <v>35</v>
      </c>
      <c r="V32" s="42">
        <v>35</v>
      </c>
      <c r="W32" s="42">
        <v>35</v>
      </c>
    </row>
    <row r="33" spans="2:23" ht="14.95" x14ac:dyDescent="0.25">
      <c r="C33" s="2" t="s">
        <v>41</v>
      </c>
      <c r="D33" s="10">
        <v>0.05</v>
      </c>
      <c r="E33" s="10">
        <v>0.05</v>
      </c>
      <c r="F33" s="10">
        <v>0.05</v>
      </c>
      <c r="G33" s="10">
        <v>0.05</v>
      </c>
      <c r="H33" s="10">
        <v>0.05</v>
      </c>
      <c r="I33" s="10">
        <v>0.05</v>
      </c>
      <c r="J33" s="10">
        <v>0.05</v>
      </c>
      <c r="K33" s="10">
        <v>0.05</v>
      </c>
      <c r="L33" s="43">
        <v>0.1</v>
      </c>
      <c r="M33" s="10">
        <v>0.75</v>
      </c>
      <c r="N33" s="10">
        <v>0.05</v>
      </c>
      <c r="O33" s="10">
        <v>0.05</v>
      </c>
      <c r="P33" s="10">
        <v>0.05</v>
      </c>
      <c r="Q33" s="10">
        <v>0.05</v>
      </c>
      <c r="R33" s="10">
        <v>0.05</v>
      </c>
      <c r="S33" s="10">
        <v>0.05</v>
      </c>
      <c r="T33" s="10">
        <v>0.05</v>
      </c>
      <c r="U33" s="10">
        <v>0.05</v>
      </c>
      <c r="V33" s="10">
        <v>0.05</v>
      </c>
      <c r="W33" s="10">
        <v>1</v>
      </c>
    </row>
    <row r="37" spans="2:23" x14ac:dyDescent="0.25">
      <c r="B37" s="4"/>
    </row>
    <row r="38" spans="2:23" x14ac:dyDescent="0.25">
      <c r="B38" s="4"/>
    </row>
    <row r="47" spans="2:23" x14ac:dyDescent="0.25">
      <c r="B47" s="5"/>
      <c r="C47" s="6"/>
    </row>
    <row r="48" spans="2:23" x14ac:dyDescent="0.25">
      <c r="B48" s="10"/>
      <c r="C48" s="6"/>
    </row>
    <row r="49" spans="3:23" x14ac:dyDescent="0.25">
      <c r="C49" s="6"/>
    </row>
    <row r="50" spans="3:23" x14ac:dyDescent="0.25">
      <c r="C50" s="6"/>
    </row>
    <row r="51" spans="3:23" x14ac:dyDescent="0.25">
      <c r="C51" s="6"/>
    </row>
    <row r="52" spans="3:23" x14ac:dyDescent="0.25">
      <c r="C52" s="6"/>
    </row>
    <row r="53" spans="3:23" x14ac:dyDescent="0.25">
      <c r="C53" s="6"/>
      <c r="D53" s="11"/>
    </row>
    <row r="54" spans="3:23" x14ac:dyDescent="0.25">
      <c r="C54" s="7"/>
      <c r="D54" s="12"/>
    </row>
    <row r="55" spans="3:23" x14ac:dyDescent="0.25">
      <c r="D55" s="8"/>
      <c r="E55" s="8"/>
      <c r="F55" s="8"/>
      <c r="G55" s="8"/>
      <c r="H55" s="8"/>
      <c r="I55" s="8"/>
      <c r="J55" s="8"/>
      <c r="K55" s="8"/>
      <c r="L55" s="8"/>
      <c r="M55" s="8"/>
      <c r="N55" s="8"/>
      <c r="O55" s="8"/>
      <c r="P55" s="8"/>
      <c r="Q55" s="8"/>
      <c r="R55" s="8"/>
      <c r="S55" s="8"/>
      <c r="T55" s="8"/>
      <c r="U55" s="8"/>
      <c r="V55" s="8"/>
      <c r="W55" s="8"/>
    </row>
    <row r="65" spans="2:23" x14ac:dyDescent="0.25">
      <c r="B65" s="3"/>
      <c r="C65" s="3"/>
      <c r="D65" s="3"/>
      <c r="E65" s="3"/>
      <c r="F65" s="3"/>
      <c r="G65" s="3"/>
      <c r="H65" s="3"/>
      <c r="I65" s="3"/>
      <c r="J65" s="3"/>
      <c r="K65" s="3"/>
      <c r="L65" s="3"/>
      <c r="M65" s="3"/>
      <c r="N65" s="3"/>
      <c r="O65" s="3"/>
      <c r="P65" s="3"/>
      <c r="Q65" s="3"/>
      <c r="R65" s="3"/>
      <c r="S65" s="3"/>
      <c r="T65" s="3"/>
      <c r="U65" s="3"/>
      <c r="V65" s="3"/>
      <c r="W65" s="3"/>
    </row>
    <row r="72" spans="2:23" x14ac:dyDescent="0.25">
      <c r="B72" s="3"/>
      <c r="C72" s="3"/>
      <c r="D72" s="3"/>
      <c r="E72" s="3"/>
      <c r="F72" s="3"/>
      <c r="G72" s="3"/>
      <c r="H72" s="3"/>
      <c r="I72" s="3"/>
      <c r="J72" s="3"/>
      <c r="K72" s="3"/>
      <c r="L72" s="3"/>
      <c r="M72" s="3"/>
      <c r="N72" s="3"/>
      <c r="O72" s="3"/>
      <c r="P72" s="3"/>
      <c r="Q72" s="3"/>
      <c r="R72" s="3"/>
      <c r="S72" s="3"/>
      <c r="T72" s="3"/>
      <c r="U72" s="3"/>
      <c r="V72" s="3"/>
      <c r="W72" s="3"/>
    </row>
  </sheetData>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D164"/>
  <sheetViews>
    <sheetView zoomScale="90" zoomScaleNormal="90" workbookViewId="0">
      <pane xSplit="5" ySplit="5" topLeftCell="F6" activePane="bottomRight" state="frozen"/>
      <selection pane="topRight" activeCell="F1" sqref="F1"/>
      <selection pane="bottomLeft" activeCell="A6" sqref="A6"/>
      <selection pane="bottomRight" activeCell="B3" sqref="B3"/>
    </sheetView>
  </sheetViews>
  <sheetFormatPr defaultColWidth="9.125" defaultRowHeight="14.3" x14ac:dyDescent="0.25"/>
  <cols>
    <col min="1" max="1" width="4.125" style="2" customWidth="1"/>
    <col min="2" max="2" width="5.625" style="2" customWidth="1"/>
    <col min="3" max="3" width="46.75" style="2" bestFit="1" customWidth="1"/>
    <col min="4" max="4" width="1.25" style="2" customWidth="1"/>
    <col min="5" max="6" width="10.125" style="2" customWidth="1"/>
    <col min="7" max="27" width="9.125" style="2"/>
    <col min="28" max="28" width="12.125" style="2" customWidth="1"/>
    <col min="29" max="16384" width="9.125" style="2"/>
  </cols>
  <sheetData>
    <row r="2" spans="2:28" ht="15.8" x14ac:dyDescent="0.25">
      <c r="B2" s="13" t="s">
        <v>124</v>
      </c>
    </row>
    <row r="3" spans="2:28" ht="14.95" x14ac:dyDescent="0.25">
      <c r="B3" s="4" t="s">
        <v>39</v>
      </c>
    </row>
    <row r="5" spans="2:28" ht="14.95"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ht="14.95" x14ac:dyDescent="0.25">
      <c r="F6" s="1"/>
      <c r="G6" s="1"/>
      <c r="H6" s="1"/>
      <c r="I6" s="1"/>
      <c r="J6" s="1"/>
      <c r="K6" s="1"/>
      <c r="L6" s="1"/>
      <c r="M6" s="1"/>
      <c r="N6" s="1"/>
      <c r="O6" s="1"/>
      <c r="P6" s="1"/>
      <c r="Q6" s="1"/>
      <c r="R6" s="1"/>
      <c r="S6" s="1"/>
      <c r="T6" s="1"/>
      <c r="U6" s="1"/>
      <c r="V6" s="1"/>
      <c r="W6" s="1"/>
      <c r="X6" s="1"/>
      <c r="Y6" s="1"/>
    </row>
    <row r="7" spans="2:28" ht="14.95" x14ac:dyDescent="0.25">
      <c r="C7" s="3" t="s">
        <v>44</v>
      </c>
      <c r="F7" s="1"/>
      <c r="G7" s="1"/>
      <c r="H7" s="1"/>
      <c r="I7" s="1"/>
      <c r="J7" s="1"/>
      <c r="K7" s="1"/>
      <c r="L7" s="1"/>
      <c r="M7" s="1"/>
      <c r="N7" s="1"/>
      <c r="O7" s="1"/>
      <c r="P7" s="1"/>
      <c r="Q7" s="1"/>
      <c r="R7" s="1"/>
      <c r="S7" s="1"/>
      <c r="T7" s="1"/>
      <c r="U7" s="1"/>
      <c r="V7" s="1"/>
      <c r="W7" s="1"/>
      <c r="X7" s="1"/>
      <c r="Y7" s="1"/>
    </row>
    <row r="8" spans="2:28" ht="14.95" x14ac:dyDescent="0.25">
      <c r="B8" s="2" t="s">
        <v>22</v>
      </c>
      <c r="C8" s="30" t="s">
        <v>0</v>
      </c>
      <c r="D8" s="20"/>
      <c r="E8" s="20"/>
      <c r="F8" s="20">
        <f>F36*(Assumptions!D8*Assumptions!$D$6/1000+Assumptions!D9)</f>
        <v>205000</v>
      </c>
      <c r="G8" s="20">
        <f>G36*(Assumptions!E8*Assumptions!$D$6/1000+Assumptions!E9)</f>
        <v>194668</v>
      </c>
      <c r="H8" s="20">
        <f>H36*(Assumptions!F8*Assumptions!$D$6/1000+Assumptions!F9)</f>
        <v>184856.7328</v>
      </c>
      <c r="I8" s="20">
        <f>I36*(Assumptions!G8*Assumptions!$D$6/1000+Assumptions!G9)</f>
        <v>175521.46779360002</v>
      </c>
      <c r="J8" s="20">
        <f>J36*(Assumptions!H8*Assumptions!$D$6/1000+Assumptions!H9)</f>
        <v>166657.63367002321</v>
      </c>
      <c r="K8" s="20">
        <f>K36*(Assumptions!I8*Assumptions!$D$6/1000+Assumptions!I9)</f>
        <v>158224.75740632004</v>
      </c>
      <c r="L8" s="20">
        <f>L36*(Assumptions!J8*Assumptions!$D$6/1000+Assumptions!J9)</f>
        <v>150202.76220581963</v>
      </c>
      <c r="M8" s="20">
        <f>M36*(Assumptions!K8*Assumptions!$D$6/1000+Assumptions!K9)</f>
        <v>142587.48216198458</v>
      </c>
      <c r="N8" s="20">
        <f>N36*(Assumptions!L8*Assumptions!$D$6/1000+Assumptions!L9)</f>
        <v>135344.03806815576</v>
      </c>
      <c r="O8" s="20">
        <f>O36*(Assumptions!M8*Assumptions!$D$6/1000+Assumptions!M9)</f>
        <v>128455.02653048662</v>
      </c>
      <c r="P8" s="20">
        <f>P36*(Assumptions!N8*Assumptions!$D$6/1000+Assumptions!N9)</f>
        <v>103757.19789292989</v>
      </c>
      <c r="Q8" s="20">
        <f>Q36*(Assumptions!O8*Assumptions!$D$6/1000+Assumptions!O9)</f>
        <v>98369.605392339523</v>
      </c>
      <c r="R8" s="20">
        <f>R36*(Assumptions!P8*Assumptions!$D$6/1000+Assumptions!P9)</f>
        <v>93227.334270454972</v>
      </c>
      <c r="S8" s="20">
        <f>S36*(Assumptions!Q8*Assumptions!$D$6/1000+Assumptions!Q9)</f>
        <v>88337.560587969609</v>
      </c>
      <c r="T8" s="20">
        <f>T36*(Assumptions!R8*Assumptions!$D$6/1000+Assumptions!R9)</f>
        <v>83688.79646202772</v>
      </c>
      <c r="U8" s="20">
        <f>U36*(Assumptions!S8*Assumptions!$D$6/1000+Assumptions!S9)</f>
        <v>79255.382469451797</v>
      </c>
      <c r="V8" s="20">
        <f>V36*(Assumptions!T8*Assumptions!$D$6/1000+Assumptions!T9)</f>
        <v>75042.958891200426</v>
      </c>
      <c r="W8" s="20">
        <f>W36*(Assumptions!U8*Assumptions!$D$6/1000+Assumptions!U9)</f>
        <v>71041.293108327169</v>
      </c>
      <c r="X8" s="20">
        <f>X36*(Assumptions!V8*Assumptions!$D$6/1000+Assumptions!V9)</f>
        <v>67228.151700737697</v>
      </c>
      <c r="Y8" s="21">
        <f>Y36*(Assumptions!W8*Assumptions!$D$6/1000+Assumptions!W9)</f>
        <v>63596.150805105346</v>
      </c>
      <c r="Z8" s="23"/>
    </row>
    <row r="9" spans="2:28" ht="14.95"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ht="14.95"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ht="14.95" x14ac:dyDescent="0.25">
      <c r="B11" s="2" t="s">
        <v>22</v>
      </c>
      <c r="C11" s="31" t="s">
        <v>19</v>
      </c>
      <c r="D11" s="23"/>
      <c r="E11" s="23"/>
      <c r="F11" s="23">
        <f>-F36*Assumptions!D11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ht="14.95" x14ac:dyDescent="0.25">
      <c r="B12" s="2" t="s">
        <v>23</v>
      </c>
      <c r="C12" s="31" t="s">
        <v>66</v>
      </c>
      <c r="D12" s="23"/>
      <c r="E12" s="23"/>
      <c r="F12" s="23">
        <f>-F36*Assumptions!D13</f>
        <v>-30000</v>
      </c>
      <c r="G12" s="23">
        <f>-G36*Assumptions!E13</f>
        <v>-28488</v>
      </c>
      <c r="H12" s="23">
        <f>-H36*Assumptions!F13</f>
        <v>-27052.204800000003</v>
      </c>
      <c r="I12" s="23">
        <f>-I36*Assumptions!G13</f>
        <v>-25686.068457600006</v>
      </c>
      <c r="J12" s="23">
        <f>-J36*Assumptions!H13</f>
        <v>-24388.922000491202</v>
      </c>
      <c r="K12" s="23">
        <f>-K36*Assumptions!I13</f>
        <v>-23154.842547266348</v>
      </c>
      <c r="L12" s="23">
        <f>-L36*Assumptions!J13</f>
        <v>-21980.892030119947</v>
      </c>
      <c r="M12" s="23">
        <f>-M36*Assumptions!K13</f>
        <v>-20866.460804192862</v>
      </c>
      <c r="N12" s="23">
        <f>-N36*Assumptions!L13</f>
        <v>-19806.444595339864</v>
      </c>
      <c r="O12" s="23">
        <f>-O36*Assumptions!M13</f>
        <v>-18798.296565437067</v>
      </c>
      <c r="P12" s="23">
        <f>-P36*Assumptions!N13</f>
        <v>-4680.7758447938295</v>
      </c>
      <c r="Q12" s="23">
        <f>-Q36*Assumptions!O13</f>
        <v>-4437.7265590529105</v>
      </c>
      <c r="R12" s="23">
        <f>-R36*Assumptions!P13</f>
        <v>-4205.7444031784198</v>
      </c>
      <c r="S12" s="23">
        <f>-S36*Assumptions!Q13</f>
        <v>-3985.1531092317118</v>
      </c>
      <c r="T12" s="23">
        <f>-T36*Assumptions!R13</f>
        <v>-3775.4344268583932</v>
      </c>
      <c r="U12" s="23">
        <f>-U36*Assumptions!S13</f>
        <v>-3575.4307880955698</v>
      </c>
      <c r="V12" s="23">
        <f>-V36*Assumptions!T13</f>
        <v>-3385.3966417082902</v>
      </c>
      <c r="W12" s="23">
        <f>-W36*Assumptions!U13</f>
        <v>-3204.8703657891956</v>
      </c>
      <c r="X12" s="23">
        <f>-X36*Assumptions!V13</f>
        <v>-3032.84894890546</v>
      </c>
      <c r="Y12" s="26">
        <f>-Y36*Assumptions!W13</f>
        <v>-2868.9992844408425</v>
      </c>
      <c r="Z12" s="23"/>
    </row>
    <row r="13" spans="2:28" ht="14.95" x14ac:dyDescent="0.25">
      <c r="B13" s="2" t="s">
        <v>22</v>
      </c>
      <c r="C13" s="31" t="s">
        <v>20</v>
      </c>
      <c r="D13" s="23"/>
      <c r="E13" s="23"/>
      <c r="F13" s="23">
        <f>-F36*Assumptions!D12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ht="14.95" x14ac:dyDescent="0.25">
      <c r="B14" s="2" t="s">
        <v>23</v>
      </c>
      <c r="C14" s="31" t="s">
        <v>67</v>
      </c>
      <c r="D14" s="23"/>
      <c r="E14" s="23"/>
      <c r="F14" s="23">
        <f>-F36*Assumptions!D14</f>
        <v>-20000</v>
      </c>
      <c r="G14" s="23">
        <f>-G36*Assumptions!E14</f>
        <v>-18992</v>
      </c>
      <c r="H14" s="23">
        <f>-H36*Assumptions!F14</f>
        <v>-18034.803200000002</v>
      </c>
      <c r="I14" s="23">
        <f>-I36*Assumptions!G14</f>
        <v>-17124.045638400003</v>
      </c>
      <c r="J14" s="23">
        <f>-J36*Assumptions!H14</f>
        <v>-16259.281333660801</v>
      </c>
      <c r="K14" s="23">
        <f>-K36*Assumptions!I14</f>
        <v>-15436.561698177566</v>
      </c>
      <c r="L14" s="23">
        <f>-L36*Assumptions!J14</f>
        <v>-14653.928020079964</v>
      </c>
      <c r="M14" s="23">
        <f>-M36*Assumptions!K14</f>
        <v>-13910.973869461908</v>
      </c>
      <c r="N14" s="23">
        <f>-N36*Assumptions!L14</f>
        <v>-13204.296396893244</v>
      </c>
      <c r="O14" s="23">
        <f>-O36*Assumptions!M14</f>
        <v>-12532.197710291377</v>
      </c>
      <c r="P14" s="23">
        <f>-P36*Assumptions!N14</f>
        <v>-3120.517229862553</v>
      </c>
      <c r="Q14" s="23">
        <f>-Q36*Assumptions!O14</f>
        <v>-2958.4843727019406</v>
      </c>
      <c r="R14" s="23">
        <f>-R36*Assumptions!P14</f>
        <v>-2803.8296021189467</v>
      </c>
      <c r="S14" s="23">
        <f>-S36*Assumptions!Q14</f>
        <v>-2656.7687394878076</v>
      </c>
      <c r="T14" s="23">
        <f>-T36*Assumptions!R14</f>
        <v>-2516.9562845722621</v>
      </c>
      <c r="U14" s="23">
        <f>-U36*Assumptions!S14</f>
        <v>-2383.6205253970465</v>
      </c>
      <c r="V14" s="23">
        <f>-V36*Assumptions!T14</f>
        <v>-2256.9310944721933</v>
      </c>
      <c r="W14" s="23">
        <f>-W36*Assumptions!U14</f>
        <v>-2136.5802438594637</v>
      </c>
      <c r="X14" s="23">
        <f>-X36*Assumptions!V14</f>
        <v>-2021.8992992703068</v>
      </c>
      <c r="Y14" s="26">
        <f>-Y36*Assumptions!W14</f>
        <v>-1912.6661896272285</v>
      </c>
      <c r="Z14" s="23"/>
    </row>
    <row r="15" spans="2:28" ht="14.95" x14ac:dyDescent="0.25">
      <c r="B15" s="2" t="s">
        <v>23</v>
      </c>
      <c r="C15" s="31" t="s">
        <v>1</v>
      </c>
      <c r="D15" s="23"/>
      <c r="E15" s="23"/>
      <c r="F15" s="23">
        <f>-F37*Assumptions!$D$6</f>
        <v>-80000</v>
      </c>
      <c r="G15" s="23">
        <f>-G37*Assumptions!$D$6</f>
        <v>-75968</v>
      </c>
      <c r="H15" s="23">
        <f>-H37*Assumptions!$D$6</f>
        <v>-90174.016000000018</v>
      </c>
      <c r="I15" s="23">
        <f>-I37*Assumptions!$D$6</f>
        <v>-85620.22819200001</v>
      </c>
      <c r="J15" s="23">
        <f>-J37*Assumptions!$D$6</f>
        <v>-97555.688001964809</v>
      </c>
      <c r="K15" s="23">
        <f>-K37*Assumptions!$D$6</f>
        <v>-108055.93188724296</v>
      </c>
      <c r="L15" s="23">
        <f>-L37*Assumptions!$D$6</f>
        <v>-102577.49614055976</v>
      </c>
      <c r="M15" s="23">
        <f>-M37*Assumptions!$D$6</f>
        <v>-111287.79095569528</v>
      </c>
      <c r="N15" s="23">
        <f>-N37*Assumptions!$D$6</f>
        <v>-118838.66757203921</v>
      </c>
      <c r="O15" s="23">
        <f>-O37*Assumptions!$D$6</f>
        <v>-125321.97710291378</v>
      </c>
      <c r="P15" s="23">
        <f>-P37*Assumptions!$D$6</f>
        <v>-60069.956674854155</v>
      </c>
      <c r="Q15" s="23">
        <f>-Q37*Assumptions!$D$6</f>
        <v>-67305.519478969145</v>
      </c>
      <c r="R15" s="23">
        <f>-R37*Assumptions!$D$6</f>
        <v>-68693.825251914212</v>
      </c>
      <c r="S15" s="23">
        <f>-S37*Assumptions!$D$6</f>
        <v>-69740.179411554956</v>
      </c>
      <c r="T15" s="23">
        <f>-T37*Assumptions!$D$6</f>
        <v>-74879.449466024802</v>
      </c>
      <c r="U15" s="23">
        <f>-U37*Assumptions!$D$6</f>
        <v>-75084.046550006969</v>
      </c>
      <c r="V15" s="23">
        <f>-V37*Assumptions!$D$6</f>
        <v>-75042.958891200426</v>
      </c>
      <c r="W15" s="23">
        <f>-W37*Assumptions!$D$6</f>
        <v>-78519.323961835282</v>
      </c>
      <c r="X15" s="23">
        <f>-X37*Assumptions!$D$6</f>
        <v>-81381.446795629847</v>
      </c>
      <c r="Y15" s="26">
        <f>-Y37*Assumptions!$D$6</f>
        <v>-76984.814132495943</v>
      </c>
      <c r="Z15" s="23"/>
    </row>
    <row r="16" spans="2:28" ht="14.95" x14ac:dyDescent="0.25">
      <c r="C16" s="32" t="s">
        <v>21</v>
      </c>
      <c r="D16" s="28"/>
      <c r="E16" s="28"/>
      <c r="F16" s="28">
        <f t="shared" ref="F16:Y16" si="1">SUM(F8:F15)</f>
        <v>-189000</v>
      </c>
      <c r="G16" s="28">
        <f>SUM(G8:G15)</f>
        <v>61486.600000000006</v>
      </c>
      <c r="H16" s="28">
        <f t="shared" si="1"/>
        <v>40352.872159999984</v>
      </c>
      <c r="I16" s="28">
        <f t="shared" si="1"/>
        <v>38315.052115920014</v>
      </c>
      <c r="J16" s="28">
        <f t="shared" si="1"/>
        <v>20120.860650405244</v>
      </c>
      <c r="K16" s="28">
        <f t="shared" si="1"/>
        <v>3666.1834033171763</v>
      </c>
      <c r="L16" s="28">
        <f t="shared" si="1"/>
        <v>3480.307904768968</v>
      </c>
      <c r="M16" s="28">
        <f t="shared" si="1"/>
        <v>-10607.117575464697</v>
      </c>
      <c r="N16" s="28">
        <f t="shared" si="1"/>
        <v>-23272.572399524346</v>
      </c>
      <c r="O16" s="28">
        <f t="shared" si="1"/>
        <v>-34620.196174679935</v>
      </c>
      <c r="P16" s="28">
        <f t="shared" si="1"/>
        <v>30698.088248772867</v>
      </c>
      <c r="Q16" s="28">
        <f t="shared" si="1"/>
        <v>18749.394711998539</v>
      </c>
      <c r="R16" s="28">
        <f t="shared" si="1"/>
        <v>12862.568299720646</v>
      </c>
      <c r="S16" s="28">
        <f t="shared" si="1"/>
        <v>7538.58129829666</v>
      </c>
      <c r="T16" s="28">
        <f t="shared" si="1"/>
        <v>-1667.4835385291371</v>
      </c>
      <c r="U16" s="28">
        <f t="shared" si="1"/>
        <v>-5750.4845175203809</v>
      </c>
      <c r="V16" s="28">
        <f t="shared" si="1"/>
        <v>-9394.4756807405065</v>
      </c>
      <c r="W16" s="28">
        <f t="shared" si="1"/>
        <v>-16371.546118573126</v>
      </c>
      <c r="X16" s="28">
        <f t="shared" si="1"/>
        <v>-22569.450928104801</v>
      </c>
      <c r="Y16" s="29">
        <f t="shared" si="1"/>
        <v>-21350.136341713936</v>
      </c>
      <c r="Z16" s="23"/>
      <c r="AB16" s="9"/>
    </row>
    <row r="18" spans="2:28" ht="14.95" x14ac:dyDescent="0.25">
      <c r="C18" s="3" t="s">
        <v>38</v>
      </c>
      <c r="F18" s="1"/>
      <c r="G18" s="1"/>
      <c r="H18" s="1"/>
      <c r="I18" s="1"/>
      <c r="J18" s="1"/>
      <c r="K18" s="1"/>
      <c r="L18" s="1"/>
      <c r="M18" s="1"/>
      <c r="N18" s="1"/>
      <c r="O18" s="1"/>
      <c r="P18" s="1"/>
      <c r="Q18" s="1"/>
      <c r="R18" s="1"/>
      <c r="S18" s="1"/>
      <c r="T18" s="1"/>
      <c r="U18" s="1"/>
      <c r="V18" s="1"/>
      <c r="W18" s="1"/>
      <c r="X18" s="1"/>
      <c r="Y18" s="1"/>
      <c r="AB18" s="7" t="s">
        <v>47</v>
      </c>
    </row>
    <row r="19" spans="2:28" ht="14.95" x14ac:dyDescent="0.25">
      <c r="B19" s="2" t="s">
        <v>22</v>
      </c>
      <c r="C19" s="30" t="s">
        <v>0</v>
      </c>
      <c r="D19" s="20"/>
      <c r="E19" s="20"/>
      <c r="F19" s="20">
        <f t="shared" ref="F19:Y19" si="2">F8</f>
        <v>205000</v>
      </c>
      <c r="G19" s="20">
        <f t="shared" si="2"/>
        <v>194668</v>
      </c>
      <c r="H19" s="20">
        <f t="shared" si="2"/>
        <v>184856.7328</v>
      </c>
      <c r="I19" s="20">
        <f t="shared" si="2"/>
        <v>175521.46779360002</v>
      </c>
      <c r="J19" s="20">
        <f t="shared" si="2"/>
        <v>166657.63367002321</v>
      </c>
      <c r="K19" s="20">
        <f t="shared" si="2"/>
        <v>158224.75740632004</v>
      </c>
      <c r="L19" s="20">
        <f t="shared" si="2"/>
        <v>150202.76220581963</v>
      </c>
      <c r="M19" s="20">
        <f t="shared" si="2"/>
        <v>142587.48216198458</v>
      </c>
      <c r="N19" s="20">
        <f t="shared" si="2"/>
        <v>135344.03806815576</v>
      </c>
      <c r="O19" s="20">
        <f t="shared" si="2"/>
        <v>128455.02653048662</v>
      </c>
      <c r="P19" s="20">
        <f t="shared" si="2"/>
        <v>103757.19789292989</v>
      </c>
      <c r="Q19" s="20">
        <f t="shared" si="2"/>
        <v>98369.605392339523</v>
      </c>
      <c r="R19" s="20">
        <f t="shared" si="2"/>
        <v>93227.334270454972</v>
      </c>
      <c r="S19" s="20">
        <f t="shared" si="2"/>
        <v>88337.560587969609</v>
      </c>
      <c r="T19" s="20">
        <f t="shared" si="2"/>
        <v>83688.79646202772</v>
      </c>
      <c r="U19" s="20">
        <f t="shared" si="2"/>
        <v>79255.382469451797</v>
      </c>
      <c r="V19" s="20">
        <f t="shared" si="2"/>
        <v>75042.958891200426</v>
      </c>
      <c r="W19" s="20">
        <f t="shared" si="2"/>
        <v>71041.293108327169</v>
      </c>
      <c r="X19" s="20">
        <f t="shared" si="2"/>
        <v>67228.151700737697</v>
      </c>
      <c r="Y19" s="21">
        <f t="shared" si="2"/>
        <v>63596.150805105346</v>
      </c>
      <c r="Z19" s="23"/>
      <c r="AB19" s="2">
        <f>NPV(0.04,G19:Z19)+F19</f>
        <v>1885365.7834938848</v>
      </c>
    </row>
    <row r="20" spans="2:28" ht="14.95" x14ac:dyDescent="0.25">
      <c r="B20" s="2" t="s">
        <v>22</v>
      </c>
      <c r="C20" s="31" t="s">
        <v>18</v>
      </c>
      <c r="D20" s="23"/>
      <c r="E20" s="23"/>
      <c r="F20" s="23">
        <f t="shared" ref="F20:Y20" si="3">F9</f>
        <v>-164000</v>
      </c>
      <c r="G20" s="23">
        <f t="shared" si="3"/>
        <v>0</v>
      </c>
      <c r="H20" s="23">
        <f t="shared" si="3"/>
        <v>0</v>
      </c>
      <c r="I20" s="23">
        <f t="shared" si="3"/>
        <v>0</v>
      </c>
      <c r="J20" s="23">
        <f t="shared" si="3"/>
        <v>0</v>
      </c>
      <c r="K20" s="23">
        <f t="shared" si="3"/>
        <v>0</v>
      </c>
      <c r="L20" s="23">
        <f t="shared" si="3"/>
        <v>0</v>
      </c>
      <c r="M20" s="23">
        <f t="shared" si="3"/>
        <v>0</v>
      </c>
      <c r="N20" s="23">
        <f t="shared" si="3"/>
        <v>0</v>
      </c>
      <c r="O20" s="23">
        <f t="shared" si="3"/>
        <v>0</v>
      </c>
      <c r="P20" s="23">
        <f t="shared" si="3"/>
        <v>0</v>
      </c>
      <c r="Q20" s="23">
        <f t="shared" si="3"/>
        <v>0</v>
      </c>
      <c r="R20" s="23">
        <f t="shared" si="3"/>
        <v>0</v>
      </c>
      <c r="S20" s="23">
        <f t="shared" si="3"/>
        <v>0</v>
      </c>
      <c r="T20" s="23">
        <f t="shared" si="3"/>
        <v>0</v>
      </c>
      <c r="U20" s="23">
        <f t="shared" si="3"/>
        <v>0</v>
      </c>
      <c r="V20" s="23">
        <f t="shared" si="3"/>
        <v>0</v>
      </c>
      <c r="W20" s="23">
        <f t="shared" si="3"/>
        <v>0</v>
      </c>
      <c r="X20" s="23">
        <f t="shared" si="3"/>
        <v>0</v>
      </c>
      <c r="Y20" s="26">
        <f t="shared" si="3"/>
        <v>0</v>
      </c>
      <c r="Z20" s="23"/>
      <c r="AB20" s="2">
        <f t="shared" ref="AB20:AB22" si="4">NPV(0.04,G20:Z20)+F20</f>
        <v>-164000</v>
      </c>
    </row>
    <row r="21" spans="2:28" ht="14.95" x14ac:dyDescent="0.25">
      <c r="B21" s="2" t="s">
        <v>22</v>
      </c>
      <c r="C21" s="31" t="s">
        <v>9</v>
      </c>
      <c r="D21" s="23"/>
      <c r="E21" s="23"/>
      <c r="F21" s="23">
        <f t="shared" ref="F21:Y21" si="5">F10</f>
        <v>0</v>
      </c>
      <c r="G21" s="23">
        <f t="shared" si="5"/>
        <v>-9733.4</v>
      </c>
      <c r="H21" s="23">
        <f t="shared" si="5"/>
        <v>-9242.8366399999995</v>
      </c>
      <c r="I21" s="23">
        <f t="shared" si="5"/>
        <v>-8776.0733896800011</v>
      </c>
      <c r="J21" s="23">
        <f t="shared" si="5"/>
        <v>-8332.8816835011603</v>
      </c>
      <c r="K21" s="23">
        <f t="shared" si="5"/>
        <v>-7911.237870316003</v>
      </c>
      <c r="L21" s="23">
        <f t="shared" si="5"/>
        <v>-7510.1381102909818</v>
      </c>
      <c r="M21" s="23">
        <f t="shared" si="5"/>
        <v>-7129.3741080992295</v>
      </c>
      <c r="N21" s="23">
        <f t="shared" si="5"/>
        <v>-6767.2019034077884</v>
      </c>
      <c r="O21" s="23">
        <f t="shared" si="5"/>
        <v>-6422.7513265243315</v>
      </c>
      <c r="P21" s="23">
        <f t="shared" si="5"/>
        <v>-5187.8598946464954</v>
      </c>
      <c r="Q21" s="23">
        <f t="shared" si="5"/>
        <v>-4918.4802696169763</v>
      </c>
      <c r="R21" s="23">
        <f t="shared" si="5"/>
        <v>-4661.3667135227488</v>
      </c>
      <c r="S21" s="23">
        <f t="shared" si="5"/>
        <v>-4416.878029398481</v>
      </c>
      <c r="T21" s="23">
        <f t="shared" si="5"/>
        <v>-4184.4398231013865</v>
      </c>
      <c r="U21" s="23">
        <f t="shared" si="5"/>
        <v>-3962.7691234725899</v>
      </c>
      <c r="V21" s="23">
        <f t="shared" si="5"/>
        <v>-3752.1479445600216</v>
      </c>
      <c r="W21" s="23">
        <f t="shared" si="5"/>
        <v>-3552.0646554163586</v>
      </c>
      <c r="X21" s="23">
        <f t="shared" si="5"/>
        <v>-3361.4075850368849</v>
      </c>
      <c r="Y21" s="26">
        <f t="shared" si="5"/>
        <v>-3179.8075402552677</v>
      </c>
      <c r="Z21" s="23"/>
      <c r="AB21" s="2">
        <f t="shared" si="4"/>
        <v>-84018.289174694233</v>
      </c>
    </row>
    <row r="22" spans="2:28" ht="14.95" x14ac:dyDescent="0.25">
      <c r="B22" s="2" t="s">
        <v>22</v>
      </c>
      <c r="C22" s="31" t="s">
        <v>19</v>
      </c>
      <c r="D22" s="23"/>
      <c r="E22" s="23"/>
      <c r="F22" s="23">
        <f t="shared" ref="F22:Y22" si="6">F11</f>
        <v>-40000</v>
      </c>
      <c r="G22" s="23">
        <f t="shared" si="6"/>
        <v>0</v>
      </c>
      <c r="H22" s="23">
        <f t="shared" si="6"/>
        <v>0</v>
      </c>
      <c r="I22" s="23">
        <f t="shared" si="6"/>
        <v>0</v>
      </c>
      <c r="J22" s="23">
        <f t="shared" si="6"/>
        <v>0</v>
      </c>
      <c r="K22" s="23">
        <f t="shared" si="6"/>
        <v>0</v>
      </c>
      <c r="L22" s="23">
        <f t="shared" si="6"/>
        <v>0</v>
      </c>
      <c r="M22" s="23">
        <f t="shared" si="6"/>
        <v>0</v>
      </c>
      <c r="N22" s="23">
        <f t="shared" si="6"/>
        <v>0</v>
      </c>
      <c r="O22" s="23">
        <f t="shared" si="6"/>
        <v>0</v>
      </c>
      <c r="P22" s="23">
        <f t="shared" si="6"/>
        <v>0</v>
      </c>
      <c r="Q22" s="23">
        <f t="shared" si="6"/>
        <v>0</v>
      </c>
      <c r="R22" s="23">
        <f t="shared" si="6"/>
        <v>0</v>
      </c>
      <c r="S22" s="23">
        <f t="shared" si="6"/>
        <v>0</v>
      </c>
      <c r="T22" s="23">
        <f t="shared" si="6"/>
        <v>0</v>
      </c>
      <c r="U22" s="23">
        <f t="shared" si="6"/>
        <v>0</v>
      </c>
      <c r="V22" s="23">
        <f t="shared" si="6"/>
        <v>0</v>
      </c>
      <c r="W22" s="23">
        <f t="shared" si="6"/>
        <v>0</v>
      </c>
      <c r="X22" s="23">
        <f t="shared" si="6"/>
        <v>0</v>
      </c>
      <c r="Y22" s="26">
        <f t="shared" si="6"/>
        <v>0</v>
      </c>
      <c r="Z22" s="23"/>
      <c r="AB22" s="2">
        <f t="shared" si="4"/>
        <v>-40000</v>
      </c>
    </row>
    <row r="23" spans="2:28" ht="14.95" x14ac:dyDescent="0.25">
      <c r="B23" s="2" t="s">
        <v>23</v>
      </c>
      <c r="C23" s="31" t="s">
        <v>66</v>
      </c>
      <c r="D23" s="23"/>
      <c r="E23" s="23"/>
      <c r="F23" s="23">
        <f t="shared" ref="F23:Y23" si="7">F12</f>
        <v>-30000</v>
      </c>
      <c r="G23" s="23">
        <f t="shared" si="7"/>
        <v>-28488</v>
      </c>
      <c r="H23" s="23">
        <f t="shared" si="7"/>
        <v>-27052.204800000003</v>
      </c>
      <c r="I23" s="23">
        <f t="shared" si="7"/>
        <v>-25686.068457600006</v>
      </c>
      <c r="J23" s="23">
        <f t="shared" si="7"/>
        <v>-24388.922000491202</v>
      </c>
      <c r="K23" s="23">
        <f t="shared" si="7"/>
        <v>-23154.842547266348</v>
      </c>
      <c r="L23" s="23">
        <f t="shared" si="7"/>
        <v>-21980.892030119947</v>
      </c>
      <c r="M23" s="23">
        <f t="shared" si="7"/>
        <v>-20866.460804192862</v>
      </c>
      <c r="N23" s="23">
        <f t="shared" si="7"/>
        <v>-19806.444595339864</v>
      </c>
      <c r="O23" s="23">
        <f t="shared" si="7"/>
        <v>-18798.296565437067</v>
      </c>
      <c r="P23" s="23">
        <f t="shared" si="7"/>
        <v>-4680.7758447938295</v>
      </c>
      <c r="Q23" s="23">
        <f t="shared" si="7"/>
        <v>-4437.7265590529105</v>
      </c>
      <c r="R23" s="23">
        <f t="shared" si="7"/>
        <v>-4205.7444031784198</v>
      </c>
      <c r="S23" s="23">
        <f t="shared" si="7"/>
        <v>-3985.1531092317118</v>
      </c>
      <c r="T23" s="23">
        <f t="shared" si="7"/>
        <v>-3775.4344268583932</v>
      </c>
      <c r="U23" s="23">
        <f t="shared" si="7"/>
        <v>-3575.4307880955698</v>
      </c>
      <c r="V23" s="23">
        <f t="shared" si="7"/>
        <v>-3385.3966417082902</v>
      </c>
      <c r="W23" s="23">
        <f t="shared" si="7"/>
        <v>-3204.8703657891956</v>
      </c>
      <c r="X23" s="23">
        <f t="shared" si="7"/>
        <v>-3032.84894890546</v>
      </c>
      <c r="Y23" s="26">
        <f t="shared" si="7"/>
        <v>-2868.9992844408425</v>
      </c>
      <c r="Z23" s="23"/>
      <c r="AB23" s="2">
        <f>NPV(0.04,F23:Z23)</f>
        <v>-218815.81366774798</v>
      </c>
    </row>
    <row r="24" spans="2:28" ht="14.95" x14ac:dyDescent="0.25">
      <c r="B24" s="2" t="s">
        <v>22</v>
      </c>
      <c r="C24" s="31" t="s">
        <v>20</v>
      </c>
      <c r="D24" s="23"/>
      <c r="E24" s="23"/>
      <c r="F24" s="23">
        <f t="shared" ref="F24:Y24" si="8">F13</f>
        <v>-60000</v>
      </c>
      <c r="G24" s="23">
        <f t="shared" si="8"/>
        <v>0</v>
      </c>
      <c r="H24" s="23">
        <f t="shared" si="8"/>
        <v>0</v>
      </c>
      <c r="I24" s="23">
        <f t="shared" si="8"/>
        <v>0</v>
      </c>
      <c r="J24" s="23">
        <f t="shared" si="8"/>
        <v>0</v>
      </c>
      <c r="K24" s="23">
        <f t="shared" si="8"/>
        <v>0</v>
      </c>
      <c r="L24" s="23">
        <f t="shared" si="8"/>
        <v>0</v>
      </c>
      <c r="M24" s="23">
        <f t="shared" si="8"/>
        <v>0</v>
      </c>
      <c r="N24" s="23">
        <f t="shared" si="8"/>
        <v>0</v>
      </c>
      <c r="O24" s="23">
        <f t="shared" si="8"/>
        <v>0</v>
      </c>
      <c r="P24" s="23">
        <f t="shared" si="8"/>
        <v>0</v>
      </c>
      <c r="Q24" s="23">
        <f t="shared" si="8"/>
        <v>0</v>
      </c>
      <c r="R24" s="23">
        <f t="shared" si="8"/>
        <v>0</v>
      </c>
      <c r="S24" s="23">
        <f t="shared" si="8"/>
        <v>0</v>
      </c>
      <c r="T24" s="23">
        <f t="shared" si="8"/>
        <v>0</v>
      </c>
      <c r="U24" s="23">
        <f t="shared" si="8"/>
        <v>0</v>
      </c>
      <c r="V24" s="23">
        <f t="shared" si="8"/>
        <v>0</v>
      </c>
      <c r="W24" s="23">
        <f t="shared" si="8"/>
        <v>0</v>
      </c>
      <c r="X24" s="23">
        <f t="shared" si="8"/>
        <v>0</v>
      </c>
      <c r="Y24" s="26">
        <f t="shared" si="8"/>
        <v>0</v>
      </c>
      <c r="Z24" s="23"/>
      <c r="AB24" s="2">
        <f>NPV(0.04,G24:Z24)+F24</f>
        <v>-60000</v>
      </c>
    </row>
    <row r="25" spans="2:28" ht="14.95" x14ac:dyDescent="0.25">
      <c r="B25" s="2" t="s">
        <v>23</v>
      </c>
      <c r="C25" s="31" t="s">
        <v>67</v>
      </c>
      <c r="D25" s="23"/>
      <c r="E25" s="23"/>
      <c r="F25" s="23">
        <f>F14</f>
        <v>-20000</v>
      </c>
      <c r="G25" s="23">
        <f t="shared" ref="G25:Y25" si="9">G14</f>
        <v>-18992</v>
      </c>
      <c r="H25" s="23">
        <f t="shared" si="9"/>
        <v>-18034.803200000002</v>
      </c>
      <c r="I25" s="23">
        <f t="shared" si="9"/>
        <v>-17124.045638400003</v>
      </c>
      <c r="J25" s="23">
        <f t="shared" si="9"/>
        <v>-16259.281333660801</v>
      </c>
      <c r="K25" s="23">
        <f t="shared" si="9"/>
        <v>-15436.561698177566</v>
      </c>
      <c r="L25" s="23">
        <f t="shared" si="9"/>
        <v>-14653.928020079964</v>
      </c>
      <c r="M25" s="23">
        <f t="shared" si="9"/>
        <v>-13910.973869461908</v>
      </c>
      <c r="N25" s="23">
        <f t="shared" si="9"/>
        <v>-13204.296396893244</v>
      </c>
      <c r="O25" s="23">
        <f t="shared" si="9"/>
        <v>-12532.197710291377</v>
      </c>
      <c r="P25" s="23">
        <f t="shared" si="9"/>
        <v>-3120.517229862553</v>
      </c>
      <c r="Q25" s="23">
        <f t="shared" si="9"/>
        <v>-2958.4843727019406</v>
      </c>
      <c r="R25" s="23">
        <f t="shared" si="9"/>
        <v>-2803.8296021189467</v>
      </c>
      <c r="S25" s="23">
        <f t="shared" si="9"/>
        <v>-2656.7687394878076</v>
      </c>
      <c r="T25" s="23">
        <f t="shared" si="9"/>
        <v>-2516.9562845722621</v>
      </c>
      <c r="U25" s="23">
        <f t="shared" si="9"/>
        <v>-2383.6205253970465</v>
      </c>
      <c r="V25" s="23">
        <f t="shared" si="9"/>
        <v>-2256.9310944721933</v>
      </c>
      <c r="W25" s="23">
        <f t="shared" si="9"/>
        <v>-2136.5802438594637</v>
      </c>
      <c r="X25" s="23">
        <f t="shared" si="9"/>
        <v>-2021.8992992703068</v>
      </c>
      <c r="Y25" s="26">
        <f t="shared" si="9"/>
        <v>-1912.6661896272285</v>
      </c>
      <c r="Z25" s="23"/>
      <c r="AB25" s="2">
        <f>NPV(0.04,F25:Z25)</f>
        <v>-145877.20911183197</v>
      </c>
    </row>
    <row r="26" spans="2:28" ht="14.95" x14ac:dyDescent="0.25">
      <c r="B26" s="2" t="s">
        <v>23</v>
      </c>
      <c r="C26" s="31" t="s">
        <v>1</v>
      </c>
      <c r="D26" s="23"/>
      <c r="E26" s="23"/>
      <c r="F26" s="23">
        <f t="shared" ref="F26:Y26" si="10">F15</f>
        <v>-80000</v>
      </c>
      <c r="G26" s="23">
        <f t="shared" si="10"/>
        <v>-75968</v>
      </c>
      <c r="H26" s="23">
        <f t="shared" si="10"/>
        <v>-90174.016000000018</v>
      </c>
      <c r="I26" s="23">
        <f t="shared" si="10"/>
        <v>-85620.22819200001</v>
      </c>
      <c r="J26" s="23">
        <f t="shared" si="10"/>
        <v>-97555.688001964809</v>
      </c>
      <c r="K26" s="23">
        <f t="shared" si="10"/>
        <v>-108055.93188724296</v>
      </c>
      <c r="L26" s="23">
        <f t="shared" si="10"/>
        <v>-102577.49614055976</v>
      </c>
      <c r="M26" s="23">
        <f t="shared" si="10"/>
        <v>-111287.79095569528</v>
      </c>
      <c r="N26" s="23">
        <f t="shared" si="10"/>
        <v>-118838.66757203921</v>
      </c>
      <c r="O26" s="23">
        <f t="shared" si="10"/>
        <v>-125321.97710291378</v>
      </c>
      <c r="P26" s="23">
        <f t="shared" si="10"/>
        <v>-60069.956674854155</v>
      </c>
      <c r="Q26" s="23">
        <f t="shared" si="10"/>
        <v>-67305.519478969145</v>
      </c>
      <c r="R26" s="23">
        <f t="shared" si="10"/>
        <v>-68693.825251914212</v>
      </c>
      <c r="S26" s="23">
        <f t="shared" si="10"/>
        <v>-69740.179411554956</v>
      </c>
      <c r="T26" s="23">
        <f t="shared" si="10"/>
        <v>-74879.449466024802</v>
      </c>
      <c r="U26" s="23">
        <f t="shared" si="10"/>
        <v>-75084.046550006969</v>
      </c>
      <c r="V26" s="23">
        <f t="shared" si="10"/>
        <v>-75042.958891200426</v>
      </c>
      <c r="W26" s="23">
        <f t="shared" si="10"/>
        <v>-78519.323961835282</v>
      </c>
      <c r="X26" s="23">
        <f t="shared" si="10"/>
        <v>-81381.446795629847</v>
      </c>
      <c r="Y26" s="26">
        <f t="shared" si="10"/>
        <v>-76984.814132495943</v>
      </c>
      <c r="Z26" s="23"/>
      <c r="AB26" s="2">
        <f>NPV(0.04,F26:Z26)</f>
        <v>-1188819.6824108735</v>
      </c>
    </row>
    <row r="27" spans="2:28" ht="14.95" x14ac:dyDescent="0.25">
      <c r="C27" s="32" t="s">
        <v>21</v>
      </c>
      <c r="D27" s="28"/>
      <c r="E27" s="28"/>
      <c r="F27" s="28">
        <f t="shared" ref="F27:Y27" si="11">SUM(F19:F26)</f>
        <v>-189000</v>
      </c>
      <c r="G27" s="28">
        <f t="shared" si="11"/>
        <v>61486.600000000006</v>
      </c>
      <c r="H27" s="28">
        <f t="shared" si="11"/>
        <v>40352.872159999984</v>
      </c>
      <c r="I27" s="28">
        <f t="shared" si="11"/>
        <v>38315.052115920014</v>
      </c>
      <c r="J27" s="28">
        <f t="shared" si="11"/>
        <v>20120.860650405244</v>
      </c>
      <c r="K27" s="28">
        <f t="shared" si="11"/>
        <v>3666.1834033171763</v>
      </c>
      <c r="L27" s="28">
        <f t="shared" si="11"/>
        <v>3480.307904768968</v>
      </c>
      <c r="M27" s="28">
        <f t="shared" si="11"/>
        <v>-10607.117575464697</v>
      </c>
      <c r="N27" s="28">
        <f t="shared" si="11"/>
        <v>-23272.572399524346</v>
      </c>
      <c r="O27" s="28">
        <f t="shared" si="11"/>
        <v>-34620.196174679935</v>
      </c>
      <c r="P27" s="28">
        <f t="shared" si="11"/>
        <v>30698.088248772867</v>
      </c>
      <c r="Q27" s="28">
        <f t="shared" si="11"/>
        <v>18749.394711998539</v>
      </c>
      <c r="R27" s="28">
        <f t="shared" si="11"/>
        <v>12862.568299720646</v>
      </c>
      <c r="S27" s="28">
        <f t="shared" si="11"/>
        <v>7538.58129829666</v>
      </c>
      <c r="T27" s="28">
        <f t="shared" si="11"/>
        <v>-1667.4835385291371</v>
      </c>
      <c r="U27" s="28">
        <f t="shared" si="11"/>
        <v>-5750.4845175203809</v>
      </c>
      <c r="V27" s="28">
        <f t="shared" si="11"/>
        <v>-9394.4756807405065</v>
      </c>
      <c r="W27" s="28">
        <f t="shared" si="11"/>
        <v>-16371.546118573126</v>
      </c>
      <c r="X27" s="28">
        <f t="shared" si="11"/>
        <v>-22569.450928104801</v>
      </c>
      <c r="Y27" s="29">
        <f t="shared" si="11"/>
        <v>-21350.136341713936</v>
      </c>
      <c r="Z27" s="23"/>
      <c r="AB27" s="3">
        <f>SUM(AB19:AB26)</f>
        <v>-16165.210871262942</v>
      </c>
    </row>
    <row r="29" spans="2:28" ht="14.95" x14ac:dyDescent="0.25">
      <c r="C29" s="3" t="s">
        <v>43</v>
      </c>
    </row>
    <row r="30" spans="2:28" ht="14.95"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ht="14.95"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ht="14.95" x14ac:dyDescent="0.25">
      <c r="B32" s="17"/>
      <c r="C32" s="52" t="s">
        <v>45</v>
      </c>
      <c r="D32" s="23"/>
      <c r="E32" s="23"/>
      <c r="F32" s="23"/>
      <c r="G32" s="23"/>
      <c r="H32" s="23"/>
      <c r="I32" s="23"/>
      <c r="J32" s="23"/>
      <c r="K32" s="23"/>
      <c r="L32" s="23"/>
      <c r="M32" s="23"/>
      <c r="N32" s="23"/>
      <c r="O32" s="23"/>
      <c r="P32" s="23"/>
      <c r="Q32" s="23"/>
      <c r="R32" s="23"/>
      <c r="S32" s="23"/>
      <c r="T32" s="23"/>
      <c r="U32" s="23"/>
      <c r="V32" s="23"/>
      <c r="W32" s="23"/>
      <c r="X32" s="23"/>
      <c r="Y32" s="23"/>
    </row>
    <row r="33" spans="2:26" ht="14.95" x14ac:dyDescent="0.25">
      <c r="B33" s="17" t="s">
        <v>23</v>
      </c>
      <c r="C33" s="33" t="s">
        <v>1</v>
      </c>
      <c r="D33" s="34"/>
      <c r="E33" s="34"/>
      <c r="F33" s="34">
        <f>F30</f>
        <v>-8000</v>
      </c>
      <c r="G33" s="34">
        <f t="shared" ref="G33:Y33" si="12">G30</f>
        <v>-7596.8</v>
      </c>
      <c r="H33" s="34">
        <f t="shared" si="12"/>
        <v>-9017.4016000000029</v>
      </c>
      <c r="I33" s="34">
        <f t="shared" si="12"/>
        <v>-8562.0228192000013</v>
      </c>
      <c r="J33" s="34">
        <f t="shared" si="12"/>
        <v>-9755.5688001964809</v>
      </c>
      <c r="K33" s="34">
        <f t="shared" si="12"/>
        <v>-10805.593188724297</v>
      </c>
      <c r="L33" s="34">
        <f t="shared" si="12"/>
        <v>-10257.749614055976</v>
      </c>
      <c r="M33" s="34">
        <f t="shared" si="12"/>
        <v>-11128.779095569529</v>
      </c>
      <c r="N33" s="34">
        <f t="shared" si="12"/>
        <v>-11883.866757203921</v>
      </c>
      <c r="O33" s="34">
        <f t="shared" si="12"/>
        <v>-12532.197710291379</v>
      </c>
      <c r="P33" s="34">
        <f t="shared" si="12"/>
        <v>-6006.9956674854157</v>
      </c>
      <c r="Q33" s="34">
        <f t="shared" si="12"/>
        <v>-6730.5519478969145</v>
      </c>
      <c r="R33" s="34">
        <f t="shared" si="12"/>
        <v>-6869.3825251914213</v>
      </c>
      <c r="S33" s="34">
        <f t="shared" si="12"/>
        <v>-6974.0179411554964</v>
      </c>
      <c r="T33" s="34">
        <f t="shared" si="12"/>
        <v>-7487.9449466024807</v>
      </c>
      <c r="U33" s="34">
        <f t="shared" si="12"/>
        <v>-7508.4046550006969</v>
      </c>
      <c r="V33" s="34">
        <f t="shared" si="12"/>
        <v>-7504.2958891200433</v>
      </c>
      <c r="W33" s="34">
        <f t="shared" si="12"/>
        <v>-7851.9323961835289</v>
      </c>
      <c r="X33" s="34">
        <f t="shared" si="12"/>
        <v>-8138.1446795629854</v>
      </c>
      <c r="Y33" s="35">
        <f t="shared" si="12"/>
        <v>-7698.4814132495949</v>
      </c>
      <c r="Z33" s="23"/>
    </row>
    <row r="34" spans="2:26" ht="14.95" x14ac:dyDescent="0.25">
      <c r="C34" s="6"/>
    </row>
    <row r="35" spans="2:26" ht="14.95" x14ac:dyDescent="0.25">
      <c r="C35" s="3" t="s">
        <v>16</v>
      </c>
    </row>
    <row r="36" spans="2:26" x14ac:dyDescent="0.25">
      <c r="C36" s="19" t="s">
        <v>74</v>
      </c>
      <c r="D36" s="20"/>
      <c r="E36" s="20"/>
      <c r="F36" s="20">
        <f>Assumptions!D7</f>
        <v>1000</v>
      </c>
      <c r="G36" s="20">
        <f>F39</f>
        <v>949.6</v>
      </c>
      <c r="H36" s="20">
        <f t="shared" ref="H36:Y36" si="13">G39</f>
        <v>901.74016000000006</v>
      </c>
      <c r="I36" s="20">
        <f t="shared" si="13"/>
        <v>856.20228192000013</v>
      </c>
      <c r="J36" s="20">
        <f t="shared" si="13"/>
        <v>812.96406668304007</v>
      </c>
      <c r="K36" s="20">
        <f t="shared" si="13"/>
        <v>771.82808490887828</v>
      </c>
      <c r="L36" s="20">
        <f t="shared" si="13"/>
        <v>732.69640100399818</v>
      </c>
      <c r="M36" s="20">
        <f t="shared" si="13"/>
        <v>695.54869347309545</v>
      </c>
      <c r="N36" s="20">
        <f t="shared" si="13"/>
        <v>660.2148198446622</v>
      </c>
      <c r="O36" s="20">
        <f t="shared" si="13"/>
        <v>626.60988551456887</v>
      </c>
      <c r="P36" s="20">
        <f t="shared" si="13"/>
        <v>156.02586149312765</v>
      </c>
      <c r="Q36" s="20">
        <f t="shared" si="13"/>
        <v>147.92421863509702</v>
      </c>
      <c r="R36" s="20">
        <f t="shared" si="13"/>
        <v>140.19148010594733</v>
      </c>
      <c r="S36" s="20">
        <f t="shared" si="13"/>
        <v>132.83843697439039</v>
      </c>
      <c r="T36" s="20">
        <f t="shared" si="13"/>
        <v>125.8478142286131</v>
      </c>
      <c r="U36" s="20">
        <f t="shared" si="13"/>
        <v>119.18102626985232</v>
      </c>
      <c r="V36" s="20">
        <f t="shared" si="13"/>
        <v>112.84655472360967</v>
      </c>
      <c r="W36" s="20">
        <f t="shared" si="13"/>
        <v>106.82901219297318</v>
      </c>
      <c r="X36" s="20">
        <f t="shared" si="13"/>
        <v>101.09496496351534</v>
      </c>
      <c r="Y36" s="21">
        <f t="shared" si="13"/>
        <v>95.633309481361422</v>
      </c>
      <c r="Z36" s="23"/>
    </row>
    <row r="37" spans="2:26"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24">
        <f>O36*Assumptions!M22</f>
        <v>0.62660988551456887</v>
      </c>
      <c r="P37" s="24">
        <f>P36*Assumptions!N22</f>
        <v>0.30034978337427076</v>
      </c>
      <c r="Q37" s="24">
        <f>Q36*Assumptions!O22</f>
        <v>0.33652759739484572</v>
      </c>
      <c r="R37" s="24">
        <f>R36*Assumptions!P22</f>
        <v>0.34346912625957104</v>
      </c>
      <c r="S37" s="24">
        <f>S36*Assumptions!Q22</f>
        <v>0.34870089705777479</v>
      </c>
      <c r="T37" s="24">
        <f>T36*Assumptions!R22</f>
        <v>0.37439724733012403</v>
      </c>
      <c r="U37" s="24">
        <f>U36*Assumptions!S22</f>
        <v>0.37542023275003483</v>
      </c>
      <c r="V37" s="24">
        <f>V36*Assumptions!T22</f>
        <v>0.37521479445600214</v>
      </c>
      <c r="W37" s="24">
        <f>W36*Assumptions!U22</f>
        <v>0.39259661980917643</v>
      </c>
      <c r="X37" s="24">
        <f>X36*Assumptions!V22</f>
        <v>0.40690723397814921</v>
      </c>
      <c r="Y37" s="25">
        <f>Y36*Assumptions!W22</f>
        <v>0.38492407066247974</v>
      </c>
      <c r="Z37" s="24"/>
    </row>
    <row r="38" spans="2:26"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23">
        <f>N36*Assumptions!L21</f>
        <v>33.01074099223311</v>
      </c>
      <c r="O38" s="23">
        <f>O36*Assumptions!M21</f>
        <v>469.95741413592668</v>
      </c>
      <c r="P38" s="23">
        <f>P36*Assumptions!N21</f>
        <v>7.8012930746563827</v>
      </c>
      <c r="Q38" s="23">
        <f>Q36*Assumptions!O21</f>
        <v>7.396210931754851</v>
      </c>
      <c r="R38" s="23">
        <f>R36*Assumptions!P21</f>
        <v>7.0095740052973667</v>
      </c>
      <c r="S38" s="23">
        <f>S36*Assumptions!Q21</f>
        <v>6.6419218487195195</v>
      </c>
      <c r="T38" s="23">
        <f>T36*Assumptions!R21</f>
        <v>6.2923907114306559</v>
      </c>
      <c r="U38" s="23">
        <f>U36*Assumptions!S21</f>
        <v>5.9590513134926164</v>
      </c>
      <c r="V38" s="23">
        <f>V36*Assumptions!T21</f>
        <v>5.6423277361804836</v>
      </c>
      <c r="W38" s="23">
        <f>W36*Assumptions!U21</f>
        <v>5.3414506096486596</v>
      </c>
      <c r="X38" s="23">
        <f>X36*Assumptions!V21</f>
        <v>5.0547482481757671</v>
      </c>
      <c r="Y38" s="26">
        <f>Y36*Assumptions!W21</f>
        <v>95.633309481361422</v>
      </c>
      <c r="Z38" s="23"/>
    </row>
    <row r="39" spans="2:26" x14ac:dyDescent="0.25">
      <c r="C39" s="27" t="s">
        <v>75</v>
      </c>
      <c r="D39" s="28"/>
      <c r="E39" s="28"/>
      <c r="F39" s="28">
        <f>F36-F37-F38</f>
        <v>949.6</v>
      </c>
      <c r="G39" s="28">
        <f t="shared" ref="G39:Y39" si="14">G36-G37-G38</f>
        <v>901.74016000000006</v>
      </c>
      <c r="H39" s="28">
        <f t="shared" si="14"/>
        <v>856.20228192000013</v>
      </c>
      <c r="I39" s="28">
        <f t="shared" si="14"/>
        <v>812.96406668304007</v>
      </c>
      <c r="J39" s="28">
        <f t="shared" si="14"/>
        <v>771.82808490887828</v>
      </c>
      <c r="K39" s="28">
        <f t="shared" si="14"/>
        <v>732.69640100399818</v>
      </c>
      <c r="L39" s="28">
        <f t="shared" si="14"/>
        <v>695.54869347309545</v>
      </c>
      <c r="M39" s="28">
        <f t="shared" si="14"/>
        <v>660.2148198446622</v>
      </c>
      <c r="N39" s="28">
        <f t="shared" si="14"/>
        <v>626.60988551456887</v>
      </c>
      <c r="O39" s="28">
        <f t="shared" si="14"/>
        <v>156.02586149312765</v>
      </c>
      <c r="P39" s="28">
        <f t="shared" si="14"/>
        <v>147.92421863509702</v>
      </c>
      <c r="Q39" s="28">
        <f t="shared" si="14"/>
        <v>140.19148010594733</v>
      </c>
      <c r="R39" s="28">
        <f t="shared" si="14"/>
        <v>132.83843697439039</v>
      </c>
      <c r="S39" s="28">
        <f t="shared" si="14"/>
        <v>125.8478142286131</v>
      </c>
      <c r="T39" s="28">
        <f t="shared" si="14"/>
        <v>119.18102626985232</v>
      </c>
      <c r="U39" s="28">
        <f t="shared" si="14"/>
        <v>112.84655472360967</v>
      </c>
      <c r="V39" s="28">
        <f t="shared" si="14"/>
        <v>106.82901219297318</v>
      </c>
      <c r="W39" s="28">
        <f t="shared" si="14"/>
        <v>101.09496496351534</v>
      </c>
      <c r="X39" s="28">
        <f t="shared" si="14"/>
        <v>95.633309481361422</v>
      </c>
      <c r="Y39" s="29">
        <f t="shared" si="14"/>
        <v>-0.38492407066247836</v>
      </c>
      <c r="Z39" s="23"/>
    </row>
    <row r="40" spans="2:26" x14ac:dyDescent="0.25">
      <c r="C40" s="6"/>
    </row>
    <row r="41" spans="2:26" x14ac:dyDescent="0.25">
      <c r="C41" s="3" t="s">
        <v>24</v>
      </c>
    </row>
    <row r="42" spans="2:26" x14ac:dyDescent="0.25">
      <c r="C42" s="19" t="s">
        <v>33</v>
      </c>
      <c r="D42" s="20"/>
      <c r="E42" s="21">
        <f>F8+NPV(Assumptions!D18,Base!G8:Y8)</f>
        <v>1885365.7834938848</v>
      </c>
    </row>
    <row r="43" spans="2:26" x14ac:dyDescent="0.25">
      <c r="C43" s="22" t="s">
        <v>34</v>
      </c>
      <c r="D43" s="23"/>
      <c r="E43" s="26">
        <f>F10+NPV(Assumptions!D18,Base!G10:Y10)</f>
        <v>-84018.289174694233</v>
      </c>
    </row>
    <row r="44" spans="2:26" x14ac:dyDescent="0.25">
      <c r="C44" s="22" t="s">
        <v>68</v>
      </c>
      <c r="D44" s="23"/>
      <c r="E44" s="26">
        <f>NPV(Assumptions!D18,F12:Y12)</f>
        <v>-218815.81366774798</v>
      </c>
    </row>
    <row r="45" spans="2:26" x14ac:dyDescent="0.25">
      <c r="C45" s="22" t="s">
        <v>35</v>
      </c>
      <c r="D45" s="23"/>
      <c r="E45" s="26">
        <f>NPV(Assumptions!D18,F15:Y15)</f>
        <v>-1188819.6824108735</v>
      </c>
    </row>
    <row r="46" spans="2:26" x14ac:dyDescent="0.25">
      <c r="C46" s="22" t="s">
        <v>36</v>
      </c>
      <c r="D46" s="23"/>
      <c r="E46" s="26">
        <f>F9+F11</f>
        <v>-204000</v>
      </c>
    </row>
    <row r="47" spans="2:26" x14ac:dyDescent="0.25">
      <c r="C47" s="22" t="s">
        <v>37</v>
      </c>
      <c r="D47" s="23"/>
      <c r="E47" s="36">
        <f>NPV(Assumptions!D18,F30:Y30)</f>
        <v>-118881.96824108734</v>
      </c>
    </row>
    <row r="48" spans="2:26" x14ac:dyDescent="0.25">
      <c r="C48" s="22" t="s">
        <v>26</v>
      </c>
      <c r="D48" s="23"/>
      <c r="E48" s="26">
        <f>SUM(E42:E47)</f>
        <v>70830.029999481805</v>
      </c>
    </row>
    <row r="49" spans="3:25" x14ac:dyDescent="0.25">
      <c r="C49" s="22" t="s">
        <v>25</v>
      </c>
      <c r="D49" s="23"/>
      <c r="E49" s="26">
        <f>MAX(0,E48)</f>
        <v>70830.029999481805</v>
      </c>
    </row>
    <row r="50" spans="3:25" x14ac:dyDescent="0.25">
      <c r="C50" s="27" t="s">
        <v>24</v>
      </c>
      <c r="D50" s="28"/>
      <c r="E50" s="29">
        <f>-E48+E49</f>
        <v>0</v>
      </c>
    </row>
    <row r="51" spans="3:25" x14ac:dyDescent="0.25">
      <c r="C51" s="6"/>
    </row>
    <row r="52" spans="3:25" x14ac:dyDescent="0.25">
      <c r="C52" s="3" t="s">
        <v>73</v>
      </c>
    </row>
    <row r="53" spans="3:25" x14ac:dyDescent="0.25">
      <c r="C53" s="37" t="s">
        <v>74</v>
      </c>
      <c r="D53" s="20"/>
      <c r="E53" s="20"/>
      <c r="F53" s="20">
        <v>0</v>
      </c>
      <c r="G53" s="20">
        <f>F61</f>
        <v>-306260.47817019193</v>
      </c>
      <c r="H53" s="20">
        <f t="shared" ref="H53:X53" si="15">G61</f>
        <v>-230634.91329699958</v>
      </c>
      <c r="I53" s="20">
        <f t="shared" si="15"/>
        <v>-174448.07862247957</v>
      </c>
      <c r="J53" s="20">
        <f t="shared" si="15"/>
        <v>-119317.08823690194</v>
      </c>
      <c r="K53" s="20">
        <f t="shared" si="15"/>
        <v>-81376.639702851098</v>
      </c>
      <c r="L53" s="20">
        <f t="shared" si="15"/>
        <v>-59516.419408030233</v>
      </c>
      <c r="M53" s="20">
        <f t="shared" si="15"/>
        <v>-38055.13529568135</v>
      </c>
      <c r="N53" s="20">
        <f t="shared" si="15"/>
        <v>-30855.160091355985</v>
      </c>
      <c r="O53" s="20">
        <f t="shared" si="15"/>
        <v>-37014.569051051418</v>
      </c>
      <c r="P53" s="20">
        <f t="shared" si="15"/>
        <v>-55701.859269323562</v>
      </c>
      <c r="Q53" s="20">
        <f t="shared" si="15"/>
        <v>-20168.554641529761</v>
      </c>
      <c r="R53" s="20">
        <f t="shared" si="15"/>
        <v>4470.6272624184394</v>
      </c>
      <c r="S53" s="20">
        <f t="shared" si="15"/>
        <v>23858.488957032052</v>
      </c>
      <c r="T53" s="20">
        <f t="shared" si="15"/>
        <v>38365.005855440642</v>
      </c>
      <c r="U53" s="20">
        <f t="shared" si="15"/>
        <v>43929.253101258451</v>
      </c>
      <c r="V53" s="20">
        <f t="shared" si="15"/>
        <v>45331.263767024633</v>
      </c>
      <c r="W53" s="20">
        <f t="shared" si="15"/>
        <v>42858.602169302925</v>
      </c>
      <c r="X53" s="20">
        <f t="shared" si="15"/>
        <v>33037.549519477812</v>
      </c>
      <c r="Y53" s="21">
        <f>X61</f>
        <v>16366.169636050454</v>
      </c>
    </row>
    <row r="54" spans="3:2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x14ac:dyDescent="0.25">
      <c r="C55" s="22" t="s">
        <v>77</v>
      </c>
      <c r="D55" s="23"/>
      <c r="E55" s="23"/>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x14ac:dyDescent="0.25">
      <c r="C56" s="22" t="s">
        <v>78</v>
      </c>
      <c r="D56" s="23"/>
      <c r="E56" s="23"/>
      <c r="F56" s="23">
        <f>F8</f>
        <v>205000</v>
      </c>
      <c r="G56" s="23">
        <f>G8</f>
        <v>194668</v>
      </c>
      <c r="H56" s="23">
        <f t="shared" ref="H56:X56" si="16">H8</f>
        <v>184856.7328</v>
      </c>
      <c r="I56" s="23">
        <f t="shared" si="16"/>
        <v>175521.46779360002</v>
      </c>
      <c r="J56" s="23">
        <f t="shared" si="16"/>
        <v>166657.63367002321</v>
      </c>
      <c r="K56" s="23">
        <f t="shared" si="16"/>
        <v>158224.75740632004</v>
      </c>
      <c r="L56" s="23">
        <f t="shared" si="16"/>
        <v>150202.76220581963</v>
      </c>
      <c r="M56" s="23">
        <f t="shared" si="16"/>
        <v>142587.48216198458</v>
      </c>
      <c r="N56" s="23">
        <f t="shared" si="16"/>
        <v>135344.03806815576</v>
      </c>
      <c r="O56" s="23">
        <f t="shared" si="16"/>
        <v>128455.02653048662</v>
      </c>
      <c r="P56" s="23">
        <f t="shared" si="16"/>
        <v>103757.19789292989</v>
      </c>
      <c r="Q56" s="23">
        <f t="shared" si="16"/>
        <v>98369.605392339523</v>
      </c>
      <c r="R56" s="23">
        <f t="shared" si="16"/>
        <v>93227.334270454972</v>
      </c>
      <c r="S56" s="23">
        <f t="shared" si="16"/>
        <v>88337.560587969609</v>
      </c>
      <c r="T56" s="23">
        <f t="shared" si="16"/>
        <v>83688.79646202772</v>
      </c>
      <c r="U56" s="23">
        <f t="shared" si="16"/>
        <v>79255.382469451797</v>
      </c>
      <c r="V56" s="23">
        <f t="shared" si="16"/>
        <v>75042.958891200426</v>
      </c>
      <c r="W56" s="23">
        <f t="shared" si="16"/>
        <v>71041.293108327169</v>
      </c>
      <c r="X56" s="23">
        <f t="shared" si="16"/>
        <v>67228.151700737697</v>
      </c>
      <c r="Y56" s="26">
        <f>Y8</f>
        <v>63596.150805105346</v>
      </c>
    </row>
    <row r="57" spans="3:25" x14ac:dyDescent="0.25">
      <c r="C57" s="22" t="s">
        <v>79</v>
      </c>
      <c r="D57" s="23"/>
      <c r="E57" s="23"/>
      <c r="F57" s="23">
        <f>SUM(F9:F12,F15)</f>
        <v>-314000</v>
      </c>
      <c r="G57" s="23">
        <f>SUM(G9:G12,G15)</f>
        <v>-114189.4</v>
      </c>
      <c r="H57" s="23">
        <f t="shared" ref="H57:X57" si="17">SUM(H9:H12,H15)</f>
        <v>-126469.05744000002</v>
      </c>
      <c r="I57" s="23">
        <f t="shared" si="17"/>
        <v>-120082.37003928001</v>
      </c>
      <c r="J57" s="23">
        <f t="shared" si="17"/>
        <v>-130277.49168595717</v>
      </c>
      <c r="K57" s="23">
        <f t="shared" si="17"/>
        <v>-139122.0123048253</v>
      </c>
      <c r="L57" s="23">
        <f t="shared" si="17"/>
        <v>-132068.52628097069</v>
      </c>
      <c r="M57" s="23">
        <f t="shared" si="17"/>
        <v>-139283.62586798737</v>
      </c>
      <c r="N57" s="23">
        <f t="shared" si="17"/>
        <v>-145412.31407078687</v>
      </c>
      <c r="O57" s="23">
        <f t="shared" si="17"/>
        <v>-150543.02499487519</v>
      </c>
      <c r="P57" s="23">
        <f t="shared" si="17"/>
        <v>-69938.592414294486</v>
      </c>
      <c r="Q57" s="23">
        <f t="shared" si="17"/>
        <v>-76661.726307639037</v>
      </c>
      <c r="R57" s="23">
        <f t="shared" si="17"/>
        <v>-77560.936368615381</v>
      </c>
      <c r="S57" s="23">
        <f t="shared" si="17"/>
        <v>-78142.210550185147</v>
      </c>
      <c r="T57" s="23">
        <f t="shared" si="17"/>
        <v>-82839.323715984588</v>
      </c>
      <c r="U57" s="23">
        <f t="shared" si="17"/>
        <v>-82622.246461575123</v>
      </c>
      <c r="V57" s="23">
        <f t="shared" si="17"/>
        <v>-82180.503477468737</v>
      </c>
      <c r="W57" s="23">
        <f t="shared" si="17"/>
        <v>-85276.25898304084</v>
      </c>
      <c r="X57" s="23">
        <f t="shared" si="17"/>
        <v>-87775.703329572192</v>
      </c>
      <c r="Y57" s="26">
        <f>SUM(Y9:Y12,Y15)</f>
        <v>-83033.620957192048</v>
      </c>
    </row>
    <row r="58" spans="3:2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23">
        <f>(K53+K54)*Assumptions!I18+SUM(K8:K11)*Assumptions!I18</f>
        <v>2757.4751933261182</v>
      </c>
      <c r="L58" s="23">
        <f>(L53+L54)*Assumptions!J18+SUM(L8:L11)*Assumptions!J18</f>
        <v>3327.0481874999364</v>
      </c>
      <c r="M58" s="23">
        <f>(M53+M54)*Assumptions!K18+SUM(M8:M11)*Assumptions!K18</f>
        <v>3896.1189103281599</v>
      </c>
      <c r="N58" s="23">
        <f>(N53+N54)*Assumptions!L18+SUM(N8:N11)*Assumptions!L18</f>
        <v>3908.8670429356798</v>
      </c>
      <c r="O58" s="23">
        <f>(O53+O54)*Assumptions!M18+SUM(O8:O11)*Assumptions!M18</f>
        <v>3400.7082461164346</v>
      </c>
      <c r="P58" s="23">
        <f>(P53+P54)*Assumptions!N18+SUM(P8:P11)*Assumptions!N18</f>
        <v>1714.6991491583935</v>
      </c>
      <c r="Q58" s="23">
        <f>(Q53+Q54)*Assumptions!O18+SUM(Q8:Q11)*Assumptions!O18</f>
        <v>2931.3028192477113</v>
      </c>
      <c r="R58" s="23">
        <f>(R53+R54)*Assumptions!P18+SUM(R8:R11)*Assumptions!P18</f>
        <v>3721.4637927740268</v>
      </c>
      <c r="S58" s="23">
        <f>(S53+S54)*Assumptions!Q18+SUM(S8:S11)*Assumptions!Q18</f>
        <v>4311.1668606241274</v>
      </c>
      <c r="T58" s="23">
        <f>(T53+T54)*Assumptions!R18+SUM(T8:T11)*Assumptions!R18</f>
        <v>4714.7744997746795</v>
      </c>
      <c r="U58" s="23">
        <f>(U53+U54)*Assumptions!S18+SUM(U8:U11)*Assumptions!S18</f>
        <v>4768.8746578895061</v>
      </c>
      <c r="V58" s="23">
        <f>(V53+V54)*Assumptions!T18+SUM(V8:V11)*Assumptions!T18</f>
        <v>4664.8829885466012</v>
      </c>
      <c r="W58" s="23">
        <f>(W53+W54)*Assumptions!U18+SUM(W8:W11)*Assumptions!U18</f>
        <v>4413.9132248885489</v>
      </c>
      <c r="X58" s="23">
        <f>(X53+X54)*Assumptions!V18+SUM(X8:X11)*Assumptions!V18</f>
        <v>3876.171745407145</v>
      </c>
      <c r="Y58" s="26">
        <f>(Y53+Y54)*Assumptions!W18+SUM(Y8:Y11)*Assumptions!W18</f>
        <v>3071.3005160360217</v>
      </c>
    </row>
    <row r="59" spans="3:25" x14ac:dyDescent="0.25">
      <c r="C59" s="38" t="s">
        <v>81</v>
      </c>
      <c r="D59" s="23"/>
      <c r="E59" s="23"/>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6">
        <v>0</v>
      </c>
    </row>
    <row r="60" spans="3:2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x14ac:dyDescent="0.25">
      <c r="C61" s="39" t="s">
        <v>75</v>
      </c>
      <c r="D61" s="28"/>
      <c r="E61" s="28"/>
      <c r="F61" s="28">
        <f>SUM(F53:F60)</f>
        <v>-306260.47817019193</v>
      </c>
      <c r="G61" s="28">
        <f>SUM(G53:G60)</f>
        <v>-230634.91329699958</v>
      </c>
      <c r="H61" s="28">
        <f t="shared" ref="H61:Y61" si="18">SUM(H53:H60)</f>
        <v>-174448.07862247957</v>
      </c>
      <c r="I61" s="28">
        <f t="shared" si="18"/>
        <v>-119317.08823690194</v>
      </c>
      <c r="J61" s="28">
        <f t="shared" si="18"/>
        <v>-81376.639702851098</v>
      </c>
      <c r="K61" s="28">
        <f t="shared" si="18"/>
        <v>-59516.419408030233</v>
      </c>
      <c r="L61" s="28">
        <f t="shared" si="18"/>
        <v>-38055.13529568135</v>
      </c>
      <c r="M61" s="28">
        <f t="shared" si="18"/>
        <v>-30855.160091355985</v>
      </c>
      <c r="N61" s="28">
        <f t="shared" si="18"/>
        <v>-37014.569051051418</v>
      </c>
      <c r="O61" s="28">
        <f t="shared" si="18"/>
        <v>-55701.859269323562</v>
      </c>
      <c r="P61" s="28">
        <f t="shared" si="18"/>
        <v>-20168.554641529761</v>
      </c>
      <c r="Q61" s="28">
        <f t="shared" si="18"/>
        <v>4470.6272624184394</v>
      </c>
      <c r="R61" s="28">
        <f t="shared" si="18"/>
        <v>23858.488957032052</v>
      </c>
      <c r="S61" s="28">
        <f t="shared" si="18"/>
        <v>38365.005855440642</v>
      </c>
      <c r="T61" s="28">
        <f t="shared" si="18"/>
        <v>43929.253101258451</v>
      </c>
      <c r="U61" s="28">
        <f t="shared" si="18"/>
        <v>45331.263767024633</v>
      </c>
      <c r="V61" s="28">
        <f t="shared" si="18"/>
        <v>42858.602169302925</v>
      </c>
      <c r="W61" s="28">
        <f t="shared" si="18"/>
        <v>33037.549519477812</v>
      </c>
      <c r="X61" s="28">
        <f t="shared" si="18"/>
        <v>16366.169636050454</v>
      </c>
      <c r="Y61" s="29">
        <f t="shared" si="18"/>
        <v>-2.3010215954855084E-10</v>
      </c>
    </row>
    <row r="62" spans="3:25" x14ac:dyDescent="0.25">
      <c r="C62" s="6"/>
    </row>
    <row r="63" spans="3:25" x14ac:dyDescent="0.25">
      <c r="C63" s="3" t="s">
        <v>83</v>
      </c>
    </row>
    <row r="64" spans="3:25" x14ac:dyDescent="0.25">
      <c r="C64" s="37" t="s">
        <v>74</v>
      </c>
      <c r="D64" s="20"/>
      <c r="E64" s="20"/>
      <c r="F64" s="20">
        <v>0</v>
      </c>
      <c r="G64" s="20">
        <f>F72</f>
        <v>115637.24697073083</v>
      </c>
      <c r="H64" s="20">
        <f t="shared" ref="H64:Y64" si="19">G72</f>
        <v>112665.93684956006</v>
      </c>
      <c r="I64" s="20">
        <f t="shared" si="19"/>
        <v>108155.17272354248</v>
      </c>
      <c r="J64" s="20">
        <f t="shared" si="19"/>
        <v>103919.35681328418</v>
      </c>
      <c r="K64" s="20">
        <f t="shared" si="19"/>
        <v>98320.56228561906</v>
      </c>
      <c r="L64" s="20">
        <f t="shared" si="19"/>
        <v>91447.791588319538</v>
      </c>
      <c r="M64" s="20">
        <f t="shared" si="19"/>
        <v>84847.953637796338</v>
      </c>
      <c r="N64" s="20">
        <f t="shared" si="19"/>
        <v>77113.092687738666</v>
      </c>
      <c r="O64" s="20">
        <f t="shared" si="19"/>
        <v>68313.74963804429</v>
      </c>
      <c r="P64" s="20">
        <f t="shared" si="19"/>
        <v>58514.101913274688</v>
      </c>
      <c r="Q64" s="20">
        <f t="shared" si="19"/>
        <v>54847.670322320257</v>
      </c>
      <c r="R64" s="20">
        <f t="shared" si="19"/>
        <v>50311.025187316154</v>
      </c>
      <c r="S64" s="20">
        <f t="shared" si="19"/>
        <v>45454.083669617379</v>
      </c>
      <c r="T64" s="20">
        <f t="shared" si="19"/>
        <v>40298.229075246578</v>
      </c>
      <c r="U64" s="20">
        <f t="shared" si="19"/>
        <v>34422.213291653956</v>
      </c>
      <c r="V64" s="20">
        <f t="shared" si="19"/>
        <v>28290.697168319421</v>
      </c>
      <c r="W64" s="20">
        <f t="shared" si="19"/>
        <v>21918.029165932156</v>
      </c>
      <c r="X64" s="20">
        <f t="shared" si="19"/>
        <v>14942.817936385913</v>
      </c>
      <c r="Y64" s="21">
        <f t="shared" si="19"/>
        <v>7402.3859742783643</v>
      </c>
    </row>
    <row r="65" spans="3:2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23">
        <f>(O64+O65)*Assumptions!M18</f>
        <v>2732.5499855217718</v>
      </c>
      <c r="P69" s="23">
        <f>(P64+P65)*Assumptions!N18</f>
        <v>2340.5640765309877</v>
      </c>
      <c r="Q69" s="23">
        <f>(Q64+Q65)*Assumptions!O18</f>
        <v>2193.9068128928102</v>
      </c>
      <c r="R69" s="23">
        <f>(R64+R65)*Assumptions!P18</f>
        <v>2012.4410074926461</v>
      </c>
      <c r="S69" s="23">
        <f>(S64+S65)*Assumptions!Q18</f>
        <v>1818.1633467846952</v>
      </c>
      <c r="T69" s="23">
        <f>(T64+T65)*Assumptions!R18</f>
        <v>1611.9291630098633</v>
      </c>
      <c r="U69" s="23">
        <f>(U64+U65)*Assumptions!S18</f>
        <v>1376.8885316661583</v>
      </c>
      <c r="V69" s="23">
        <f>(V64+V65)*Assumptions!T18</f>
        <v>1131.6278867327769</v>
      </c>
      <c r="W69" s="23">
        <f>(W64+W65)*Assumptions!U18</f>
        <v>876.72116663728627</v>
      </c>
      <c r="X69" s="23">
        <f>(X64+X65)*Assumptions!V18</f>
        <v>597.71271745543652</v>
      </c>
      <c r="Y69" s="26">
        <f>(Y64+Y65)*Assumptions!W18</f>
        <v>296.09543897113457</v>
      </c>
    </row>
    <row r="70" spans="3:25" x14ac:dyDescent="0.25">
      <c r="C70" s="38" t="s">
        <v>81</v>
      </c>
      <c r="D70" s="23"/>
      <c r="E70" s="23"/>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6">
        <v>0</v>
      </c>
    </row>
    <row r="71" spans="3:25" x14ac:dyDescent="0.25">
      <c r="C71" s="38" t="s">
        <v>82</v>
      </c>
      <c r="D71" s="23"/>
      <c r="E71" s="23"/>
      <c r="F71" s="23">
        <f>F30</f>
        <v>-8000</v>
      </c>
      <c r="G71" s="23">
        <f>G30</f>
        <v>-7596.8</v>
      </c>
      <c r="H71" s="23">
        <f t="shared" ref="H71:Y71" si="20">H30</f>
        <v>-9017.4016000000029</v>
      </c>
      <c r="I71" s="23">
        <f t="shared" si="20"/>
        <v>-8562.0228192000013</v>
      </c>
      <c r="J71" s="23">
        <f t="shared" si="20"/>
        <v>-9755.5688001964809</v>
      </c>
      <c r="K71" s="23">
        <f t="shared" si="20"/>
        <v>-10805.593188724297</v>
      </c>
      <c r="L71" s="23">
        <f t="shared" si="20"/>
        <v>-10257.749614055976</v>
      </c>
      <c r="M71" s="23">
        <f t="shared" si="20"/>
        <v>-11128.779095569529</v>
      </c>
      <c r="N71" s="23">
        <f t="shared" si="20"/>
        <v>-11883.866757203921</v>
      </c>
      <c r="O71" s="23">
        <f t="shared" si="20"/>
        <v>-12532.197710291379</v>
      </c>
      <c r="P71" s="23">
        <f t="shared" si="20"/>
        <v>-6006.9956674854157</v>
      </c>
      <c r="Q71" s="23">
        <f t="shared" si="20"/>
        <v>-6730.5519478969145</v>
      </c>
      <c r="R71" s="23">
        <f t="shared" si="20"/>
        <v>-6869.3825251914213</v>
      </c>
      <c r="S71" s="23">
        <f t="shared" si="20"/>
        <v>-6974.0179411554964</v>
      </c>
      <c r="T71" s="23">
        <f t="shared" si="20"/>
        <v>-7487.9449466024807</v>
      </c>
      <c r="U71" s="23">
        <f t="shared" si="20"/>
        <v>-7508.4046550006969</v>
      </c>
      <c r="V71" s="23">
        <f t="shared" si="20"/>
        <v>-7504.2958891200433</v>
      </c>
      <c r="W71" s="23">
        <f t="shared" si="20"/>
        <v>-7851.9323961835289</v>
      </c>
      <c r="X71" s="23">
        <f t="shared" si="20"/>
        <v>-8138.1446795629854</v>
      </c>
      <c r="Y71" s="26">
        <f t="shared" si="20"/>
        <v>-7698.4814132495949</v>
      </c>
    </row>
    <row r="72" spans="3:25" x14ac:dyDescent="0.25">
      <c r="C72" s="39" t="s">
        <v>75</v>
      </c>
      <c r="D72" s="28"/>
      <c r="E72" s="28"/>
      <c r="F72" s="28">
        <f>SUM(F64:F71)</f>
        <v>115637.24697073083</v>
      </c>
      <c r="G72" s="28">
        <f>SUM(G64:G71)</f>
        <v>112665.93684956006</v>
      </c>
      <c r="H72" s="28">
        <f t="shared" ref="H72:Y72" si="21">SUM(H64:H71)</f>
        <v>108155.17272354248</v>
      </c>
      <c r="I72" s="28">
        <f t="shared" si="21"/>
        <v>103919.35681328418</v>
      </c>
      <c r="J72" s="28">
        <f t="shared" si="21"/>
        <v>98320.56228561906</v>
      </c>
      <c r="K72" s="28">
        <f t="shared" si="21"/>
        <v>91447.791588319538</v>
      </c>
      <c r="L72" s="28">
        <f t="shared" si="21"/>
        <v>84847.953637796338</v>
      </c>
      <c r="M72" s="28">
        <f t="shared" si="21"/>
        <v>77113.092687738666</v>
      </c>
      <c r="N72" s="28">
        <f t="shared" si="21"/>
        <v>68313.74963804429</v>
      </c>
      <c r="O72" s="28">
        <f t="shared" si="21"/>
        <v>58514.101913274688</v>
      </c>
      <c r="P72" s="28">
        <f t="shared" si="21"/>
        <v>54847.670322320257</v>
      </c>
      <c r="Q72" s="28">
        <f t="shared" si="21"/>
        <v>50311.025187316154</v>
      </c>
      <c r="R72" s="28">
        <f t="shared" si="21"/>
        <v>45454.083669617379</v>
      </c>
      <c r="S72" s="28">
        <f t="shared" si="21"/>
        <v>40298.229075246578</v>
      </c>
      <c r="T72" s="28">
        <f t="shared" si="21"/>
        <v>34422.213291653956</v>
      </c>
      <c r="U72" s="28">
        <f t="shared" si="21"/>
        <v>28290.697168319421</v>
      </c>
      <c r="V72" s="28">
        <f t="shared" si="21"/>
        <v>21918.029165932156</v>
      </c>
      <c r="W72" s="28">
        <f t="shared" si="21"/>
        <v>14942.817936385913</v>
      </c>
      <c r="X72" s="28">
        <f t="shared" si="21"/>
        <v>7402.3859742783643</v>
      </c>
      <c r="Y72" s="29">
        <f t="shared" si="21"/>
        <v>-9.6406438387930393E-11</v>
      </c>
    </row>
    <row r="73" spans="3:25" x14ac:dyDescent="0.25">
      <c r="C73" s="6"/>
    </row>
    <row r="74" spans="3:25" x14ac:dyDescent="0.25">
      <c r="C74" s="3" t="s">
        <v>84</v>
      </c>
    </row>
    <row r="75" spans="3:25" x14ac:dyDescent="0.25">
      <c r="C75" s="37" t="s">
        <v>74</v>
      </c>
      <c r="D75" s="20"/>
      <c r="E75" s="20"/>
      <c r="F75" s="20">
        <v>0</v>
      </c>
      <c r="G75" s="20">
        <f>F83</f>
        <v>65696.035804775805</v>
      </c>
      <c r="H75" s="20">
        <f t="shared" ref="H75:Y75" si="22">G83</f>
        <v>60455.602540301981</v>
      </c>
      <c r="I75" s="20">
        <f t="shared" si="22"/>
        <v>55103.244443882992</v>
      </c>
      <c r="J75" s="20">
        <f t="shared" si="22"/>
        <v>49634.079712726583</v>
      </c>
      <c r="K75" s="20">
        <f t="shared" si="22"/>
        <v>44042.218039575499</v>
      </c>
      <c r="L75" s="20">
        <f t="shared" si="22"/>
        <v>38322.336786151965</v>
      </c>
      <c r="M75" s="20">
        <f t="shared" si="22"/>
        <v>32468.88570523337</v>
      </c>
      <c r="N75" s="20">
        <f t="shared" si="22"/>
        <v>26475.309974540531</v>
      </c>
      <c r="O75" s="20">
        <f t="shared" si="22"/>
        <v>20335.566408051011</v>
      </c>
      <c r="P75" s="20">
        <f t="shared" si="22"/>
        <v>14043.356206071245</v>
      </c>
      <c r="Q75" s="20">
        <f t="shared" si="22"/>
        <v>12765.01576932826</v>
      </c>
      <c r="R75" s="20">
        <f t="shared" si="22"/>
        <v>11461.306440854725</v>
      </c>
      <c r="S75" s="20">
        <f t="shared" si="22"/>
        <v>10131.513116116788</v>
      </c>
      <c r="T75" s="20">
        <f t="shared" si="22"/>
        <v>8774.5434551216822</v>
      </c>
      <c r="U75" s="20">
        <f t="shared" si="22"/>
        <v>7389.2526583212466</v>
      </c>
      <c r="V75" s="20">
        <f t="shared" si="22"/>
        <v>5974.7575272921631</v>
      </c>
      <c r="W75" s="20">
        <f t="shared" si="22"/>
        <v>4529.8055475878573</v>
      </c>
      <c r="X75" s="20">
        <f t="shared" si="22"/>
        <v>3053.0858684719237</v>
      </c>
      <c r="Y75" s="21">
        <f t="shared" si="22"/>
        <v>1543.5288842892828</v>
      </c>
    </row>
    <row r="76" spans="3:2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x14ac:dyDescent="0.25">
      <c r="C77" s="22" t="s">
        <v>77</v>
      </c>
      <c r="D77" s="23"/>
      <c r="E77" s="23"/>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23">
        <f>(K75+K76)*Assumptions!I20</f>
        <v>1761.68872158302</v>
      </c>
      <c r="L80" s="23">
        <f>(L75+L76)*Assumptions!J20</f>
        <v>1532.8934714460786</v>
      </c>
      <c r="M80" s="23">
        <f>(M75+M76)*Assumptions!K20</f>
        <v>1298.7554282093349</v>
      </c>
      <c r="N80" s="23">
        <f>(N75+N76)*Assumptions!L20</f>
        <v>1059.0123989816213</v>
      </c>
      <c r="O80" s="23">
        <f>(O75+O76)*Assumptions!M20</f>
        <v>813.42265632204044</v>
      </c>
      <c r="P80" s="23">
        <f>(P75+P76)*Assumptions!N20</f>
        <v>561.73424824284984</v>
      </c>
      <c r="Q80" s="23">
        <f>(Q75+Q76)*Assumptions!O20</f>
        <v>510.60063077313043</v>
      </c>
      <c r="R80" s="23">
        <f>(R75+R76)*Assumptions!P20</f>
        <v>458.45225763418904</v>
      </c>
      <c r="S80" s="23">
        <f>(S75+S76)*Assumptions!Q20</f>
        <v>405.26052464467153</v>
      </c>
      <c r="T80" s="23">
        <f>(T75+T76)*Assumptions!R20</f>
        <v>350.98173820486727</v>
      </c>
      <c r="U80" s="23">
        <f>(U75+U76)*Assumptions!S20</f>
        <v>295.57010633284989</v>
      </c>
      <c r="V80" s="23">
        <f>(V75+V76)*Assumptions!T20</f>
        <v>238.99030109168652</v>
      </c>
      <c r="W80" s="23">
        <f>(W75+W76)*Assumptions!U20</f>
        <v>181.19222190351431</v>
      </c>
      <c r="X80" s="23">
        <f>(X75+X76)*Assumptions!V20</f>
        <v>122.12343473887695</v>
      </c>
      <c r="Y80" s="26">
        <f>(Y75+Y76)*Assumptions!W20</f>
        <v>61.741155371571317</v>
      </c>
    </row>
    <row r="81" spans="3:25" x14ac:dyDescent="0.25">
      <c r="C81" s="38" t="s">
        <v>81</v>
      </c>
      <c r="D81" s="23"/>
      <c r="E81" s="23"/>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6">
        <v>0</v>
      </c>
    </row>
    <row r="82" spans="3:25" x14ac:dyDescent="0.25">
      <c r="C82" s="38" t="s">
        <v>82</v>
      </c>
      <c r="D82" s="23"/>
      <c r="E82" s="23"/>
      <c r="F82" s="23">
        <f>-SUM(F75:F81)*F36/SUM(F36:$Y$36)</f>
        <v>-7967.1953946852755</v>
      </c>
      <c r="G82" s="23">
        <f>-SUM(G75:G81)*G36/SUM(G36:$Y$36)</f>
        <v>-7868.2746966648656</v>
      </c>
      <c r="H82" s="23">
        <f>-SUM(H75:H81)*H36/SUM(H36:$Y$36)</f>
        <v>-7770.5821980310729</v>
      </c>
      <c r="I82" s="23">
        <f>-SUM(I75:I81)*I36/SUM(I36:$Y$36)</f>
        <v>-7673.2945089117256</v>
      </c>
      <c r="J82" s="23">
        <f>-SUM(J75:J81)*J36/SUM(J36:$Y$36)</f>
        <v>-7577.2248616601501</v>
      </c>
      <c r="K82" s="23">
        <f>-SUM(K75:K81)*K36/SUM(K36:$Y$36)</f>
        <v>-7481.5699750065542</v>
      </c>
      <c r="L82" s="23">
        <f>-SUM(L75:L81)*L36/SUM(L36:$Y$36)</f>
        <v>-7386.3445523646733</v>
      </c>
      <c r="M82" s="23">
        <f>-SUM(M75:M81)*M36/SUM(M36:$Y$36)</f>
        <v>-7292.3311589021732</v>
      </c>
      <c r="N82" s="23">
        <f>-SUM(N75:N81)*N36/SUM(N36:$Y$36)</f>
        <v>-7198.7559654711413</v>
      </c>
      <c r="O82" s="23">
        <f>-SUM(O75:O81)*O36/SUM(O36:$Y$36)</f>
        <v>-7105.6328583018058</v>
      </c>
      <c r="P82" s="23">
        <f>-SUM(P75:P81)*P36/SUM(P36:$Y$36)</f>
        <v>-1840.0746849858356</v>
      </c>
      <c r="Q82" s="23">
        <f>-SUM(Q75:Q81)*Q36/SUM(Q36:$Y$36)</f>
        <v>-1814.309959246664</v>
      </c>
      <c r="R82" s="23">
        <f>-SUM(R75:R81)*R36/SUM(R36:$Y$36)</f>
        <v>-1788.2455823721273</v>
      </c>
      <c r="S82" s="23">
        <f>-SUM(S75:S81)*S36/SUM(S36:$Y$36)</f>
        <v>-1762.2301856397769</v>
      </c>
      <c r="T82" s="23">
        <f>-SUM(T75:T81)*T36/SUM(T36:$Y$36)</f>
        <v>-1736.2725350053033</v>
      </c>
      <c r="U82" s="23">
        <f>-SUM(U75:U81)*U36/SUM(U36:$Y$36)</f>
        <v>-1710.0652373619332</v>
      </c>
      <c r="V82" s="23">
        <f>-SUM(V75:V81)*V36/SUM(V36:$Y$36)</f>
        <v>-1683.9422807959922</v>
      </c>
      <c r="W82" s="23">
        <f>-SUM(W75:W81)*W36/SUM(W36:$Y$36)</f>
        <v>-1657.9119010194477</v>
      </c>
      <c r="X82" s="23">
        <f>-SUM(X75:X81)*X36/SUM(X36:$Y$36)</f>
        <v>-1631.6804189215177</v>
      </c>
      <c r="Y82" s="26">
        <f>-SUM(Y75:Y81)*Y36/SUM(Y36:$Y$36)</f>
        <v>-1605.2700396608541</v>
      </c>
    </row>
    <row r="83" spans="3:25" x14ac:dyDescent="0.25">
      <c r="C83" s="39" t="s">
        <v>75</v>
      </c>
      <c r="D83" s="28"/>
      <c r="E83" s="28"/>
      <c r="F83" s="28">
        <f>SUM(F75:F82)</f>
        <v>65696.035804775805</v>
      </c>
      <c r="G83" s="28">
        <f>SUM(G75:G82)</f>
        <v>60455.602540301981</v>
      </c>
      <c r="H83" s="28">
        <f t="shared" ref="H83:Y83" si="23">SUM(H75:H82)</f>
        <v>55103.244443882992</v>
      </c>
      <c r="I83" s="28">
        <f t="shared" si="23"/>
        <v>49634.079712726583</v>
      </c>
      <c r="J83" s="28">
        <f t="shared" si="23"/>
        <v>44042.218039575499</v>
      </c>
      <c r="K83" s="28">
        <f t="shared" si="23"/>
        <v>38322.336786151965</v>
      </c>
      <c r="L83" s="28">
        <f t="shared" si="23"/>
        <v>32468.88570523337</v>
      </c>
      <c r="M83" s="28">
        <f t="shared" si="23"/>
        <v>26475.309974540531</v>
      </c>
      <c r="N83" s="28">
        <f t="shared" si="23"/>
        <v>20335.566408051011</v>
      </c>
      <c r="O83" s="28">
        <f t="shared" si="23"/>
        <v>14043.356206071245</v>
      </c>
      <c r="P83" s="28">
        <f t="shared" si="23"/>
        <v>12765.01576932826</v>
      </c>
      <c r="Q83" s="28">
        <f t="shared" si="23"/>
        <v>11461.306440854725</v>
      </c>
      <c r="R83" s="28">
        <f t="shared" si="23"/>
        <v>10131.513116116788</v>
      </c>
      <c r="S83" s="28">
        <f t="shared" si="23"/>
        <v>8774.5434551216822</v>
      </c>
      <c r="T83" s="28">
        <f t="shared" si="23"/>
        <v>7389.2526583212466</v>
      </c>
      <c r="U83" s="28">
        <f t="shared" si="23"/>
        <v>5974.7575272921631</v>
      </c>
      <c r="V83" s="28">
        <f t="shared" si="23"/>
        <v>4529.8055475878573</v>
      </c>
      <c r="W83" s="28">
        <f t="shared" si="23"/>
        <v>3053.0858684719237</v>
      </c>
      <c r="X83" s="28">
        <f t="shared" si="23"/>
        <v>1543.5288842892828</v>
      </c>
      <c r="Y83" s="29">
        <f t="shared" si="23"/>
        <v>0</v>
      </c>
    </row>
    <row r="85" spans="3:25" x14ac:dyDescent="0.25">
      <c r="C85" s="3" t="s">
        <v>85</v>
      </c>
    </row>
    <row r="86" spans="3:25" x14ac:dyDescent="0.25">
      <c r="C86" s="37" t="s">
        <v>74</v>
      </c>
      <c r="D86" s="20"/>
      <c r="E86" s="20"/>
      <c r="F86" s="20">
        <f>F53+F64+F75</f>
        <v>0</v>
      </c>
      <c r="G86" s="20">
        <f t="shared" ref="G86:Y86" si="24">G53+G64+G75</f>
        <v>-124927.19539468529</v>
      </c>
      <c r="H86" s="20">
        <f t="shared" si="24"/>
        <v>-57513.373907137538</v>
      </c>
      <c r="I86" s="20">
        <f t="shared" si="24"/>
        <v>-11189.661455054105</v>
      </c>
      <c r="J86" s="20">
        <f t="shared" si="24"/>
        <v>34236.348289108821</v>
      </c>
      <c r="K86" s="20">
        <f t="shared" si="24"/>
        <v>60986.140622343461</v>
      </c>
      <c r="L86" s="20">
        <f t="shared" si="24"/>
        <v>70253.708966441278</v>
      </c>
      <c r="M86" s="20">
        <f t="shared" si="24"/>
        <v>79261.70404734835</v>
      </c>
      <c r="N86" s="20">
        <f t="shared" si="24"/>
        <v>72733.242570923219</v>
      </c>
      <c r="O86" s="20">
        <f t="shared" si="24"/>
        <v>51634.746995043883</v>
      </c>
      <c r="P86" s="20">
        <f t="shared" si="24"/>
        <v>16855.598850022368</v>
      </c>
      <c r="Q86" s="20">
        <f t="shared" si="24"/>
        <v>47444.131450118752</v>
      </c>
      <c r="R86" s="20">
        <f t="shared" si="24"/>
        <v>66242.958890589318</v>
      </c>
      <c r="S86" s="20">
        <f t="shared" si="24"/>
        <v>79444.085742766212</v>
      </c>
      <c r="T86" s="20">
        <f t="shared" si="24"/>
        <v>87437.778385808895</v>
      </c>
      <c r="U86" s="20">
        <f t="shared" si="24"/>
        <v>85740.719051233653</v>
      </c>
      <c r="V86" s="20">
        <f t="shared" si="24"/>
        <v>79596.718462636214</v>
      </c>
      <c r="W86" s="20">
        <f t="shared" si="24"/>
        <v>69306.436882822949</v>
      </c>
      <c r="X86" s="20">
        <f t="shared" si="24"/>
        <v>51033.453324335649</v>
      </c>
      <c r="Y86" s="21">
        <f t="shared" si="24"/>
        <v>25312.084494618102</v>
      </c>
    </row>
    <row r="87" spans="3:25" x14ac:dyDescent="0.25">
      <c r="C87" s="22" t="s">
        <v>76</v>
      </c>
      <c r="D87" s="23"/>
      <c r="E87" s="23"/>
      <c r="F87" s="23">
        <f t="shared" ref="F87:Y87" si="25">F54+F65+F76</f>
        <v>0</v>
      </c>
      <c r="G87" s="23">
        <f t="shared" si="25"/>
        <v>0</v>
      </c>
      <c r="H87" s="23">
        <f t="shared" si="25"/>
        <v>0</v>
      </c>
      <c r="I87" s="23">
        <f t="shared" si="25"/>
        <v>0</v>
      </c>
      <c r="J87" s="23">
        <f t="shared" si="25"/>
        <v>0</v>
      </c>
      <c r="K87" s="23">
        <f t="shared" si="25"/>
        <v>0</v>
      </c>
      <c r="L87" s="23">
        <f t="shared" si="25"/>
        <v>0</v>
      </c>
      <c r="M87" s="23">
        <f t="shared" si="25"/>
        <v>0</v>
      </c>
      <c r="N87" s="23">
        <f t="shared" si="25"/>
        <v>0</v>
      </c>
      <c r="O87" s="23">
        <f t="shared" si="25"/>
        <v>0</v>
      </c>
      <c r="P87" s="23">
        <f t="shared" si="25"/>
        <v>0</v>
      </c>
      <c r="Q87" s="23">
        <f t="shared" si="25"/>
        <v>0</v>
      </c>
      <c r="R87" s="23">
        <f t="shared" si="25"/>
        <v>0</v>
      </c>
      <c r="S87" s="23">
        <f t="shared" si="25"/>
        <v>0</v>
      </c>
      <c r="T87" s="23">
        <f t="shared" si="25"/>
        <v>0</v>
      </c>
      <c r="U87" s="23">
        <f t="shared" si="25"/>
        <v>0</v>
      </c>
      <c r="V87" s="23">
        <f t="shared" si="25"/>
        <v>0</v>
      </c>
      <c r="W87" s="23">
        <f t="shared" si="25"/>
        <v>0</v>
      </c>
      <c r="X87" s="23">
        <f t="shared" si="25"/>
        <v>0</v>
      </c>
      <c r="Y87" s="26">
        <f t="shared" si="25"/>
        <v>0</v>
      </c>
    </row>
    <row r="88" spans="3:25" x14ac:dyDescent="0.25">
      <c r="C88" s="22" t="s">
        <v>77</v>
      </c>
      <c r="D88" s="23"/>
      <c r="E88" s="23"/>
      <c r="F88" s="23">
        <f t="shared" ref="F88:Y88" si="26">F55+F66+F77</f>
        <v>0</v>
      </c>
      <c r="G88" s="23">
        <f t="shared" si="26"/>
        <v>0</v>
      </c>
      <c r="H88" s="23">
        <f t="shared" si="26"/>
        <v>0</v>
      </c>
      <c r="I88" s="23">
        <f t="shared" si="26"/>
        <v>0</v>
      </c>
      <c r="J88" s="23">
        <f t="shared" si="26"/>
        <v>0</v>
      </c>
      <c r="K88" s="23">
        <f t="shared" si="26"/>
        <v>0</v>
      </c>
      <c r="L88" s="23">
        <f t="shared" si="26"/>
        <v>0</v>
      </c>
      <c r="M88" s="23">
        <f t="shared" si="26"/>
        <v>0</v>
      </c>
      <c r="N88" s="23">
        <f t="shared" si="26"/>
        <v>0</v>
      </c>
      <c r="O88" s="23">
        <f t="shared" si="26"/>
        <v>0</v>
      </c>
      <c r="P88" s="23">
        <f t="shared" si="26"/>
        <v>0</v>
      </c>
      <c r="Q88" s="23">
        <f t="shared" si="26"/>
        <v>0</v>
      </c>
      <c r="R88" s="23">
        <f t="shared" si="26"/>
        <v>0</v>
      </c>
      <c r="S88" s="23">
        <f t="shared" si="26"/>
        <v>0</v>
      </c>
      <c r="T88" s="23">
        <f t="shared" si="26"/>
        <v>0</v>
      </c>
      <c r="U88" s="23">
        <f t="shared" si="26"/>
        <v>0</v>
      </c>
      <c r="V88" s="23">
        <f t="shared" si="26"/>
        <v>0</v>
      </c>
      <c r="W88" s="23">
        <f t="shared" si="26"/>
        <v>0</v>
      </c>
      <c r="X88" s="23">
        <f t="shared" si="26"/>
        <v>0</v>
      </c>
      <c r="Y88" s="26">
        <f t="shared" si="26"/>
        <v>0</v>
      </c>
    </row>
    <row r="89" spans="3:25" x14ac:dyDescent="0.25">
      <c r="C89" s="22" t="s">
        <v>78</v>
      </c>
      <c r="D89" s="23"/>
      <c r="E89" s="23"/>
      <c r="F89" s="23">
        <f t="shared" ref="F89:Y89" si="27">F56+F67+F78</f>
        <v>205000</v>
      </c>
      <c r="G89" s="23">
        <f t="shared" si="27"/>
        <v>194668</v>
      </c>
      <c r="H89" s="23">
        <f t="shared" si="27"/>
        <v>184856.7328</v>
      </c>
      <c r="I89" s="23">
        <f t="shared" si="27"/>
        <v>175521.46779360002</v>
      </c>
      <c r="J89" s="23">
        <f t="shared" si="27"/>
        <v>166657.63367002321</v>
      </c>
      <c r="K89" s="23">
        <f t="shared" si="27"/>
        <v>158224.75740632004</v>
      </c>
      <c r="L89" s="23">
        <f t="shared" si="27"/>
        <v>150202.76220581963</v>
      </c>
      <c r="M89" s="23">
        <f t="shared" si="27"/>
        <v>142587.48216198458</v>
      </c>
      <c r="N89" s="23">
        <f t="shared" si="27"/>
        <v>135344.03806815576</v>
      </c>
      <c r="O89" s="23">
        <f t="shared" si="27"/>
        <v>128455.02653048662</v>
      </c>
      <c r="P89" s="23">
        <f t="shared" si="27"/>
        <v>103757.19789292989</v>
      </c>
      <c r="Q89" s="23">
        <f t="shared" si="27"/>
        <v>98369.605392339523</v>
      </c>
      <c r="R89" s="23">
        <f t="shared" si="27"/>
        <v>93227.334270454972</v>
      </c>
      <c r="S89" s="23">
        <f t="shared" si="27"/>
        <v>88337.560587969609</v>
      </c>
      <c r="T89" s="23">
        <f t="shared" si="27"/>
        <v>83688.79646202772</v>
      </c>
      <c r="U89" s="23">
        <f t="shared" si="27"/>
        <v>79255.382469451797</v>
      </c>
      <c r="V89" s="23">
        <f t="shared" si="27"/>
        <v>75042.958891200426</v>
      </c>
      <c r="W89" s="23">
        <f t="shared" si="27"/>
        <v>71041.293108327169</v>
      </c>
      <c r="X89" s="23">
        <f t="shared" si="27"/>
        <v>67228.151700737697</v>
      </c>
      <c r="Y89" s="26">
        <f t="shared" si="27"/>
        <v>63596.150805105346</v>
      </c>
    </row>
    <row r="90" spans="3:25" x14ac:dyDescent="0.25">
      <c r="C90" s="22" t="s">
        <v>79</v>
      </c>
      <c r="D90" s="23"/>
      <c r="E90" s="23"/>
      <c r="F90" s="23">
        <f>F57+F68+F79</f>
        <v>-314000</v>
      </c>
      <c r="G90" s="23">
        <f t="shared" ref="G90:Y90" si="28">G57+G68+G79</f>
        <v>-114189.4</v>
      </c>
      <c r="H90" s="23">
        <f t="shared" si="28"/>
        <v>-126469.05744000002</v>
      </c>
      <c r="I90" s="23">
        <f t="shared" si="28"/>
        <v>-120082.37003928001</v>
      </c>
      <c r="J90" s="23">
        <f t="shared" si="28"/>
        <v>-130277.49168595717</v>
      </c>
      <c r="K90" s="23">
        <f t="shared" si="28"/>
        <v>-139122.0123048253</v>
      </c>
      <c r="L90" s="23">
        <f t="shared" si="28"/>
        <v>-132068.52628097069</v>
      </c>
      <c r="M90" s="23">
        <f t="shared" si="28"/>
        <v>-139283.62586798737</v>
      </c>
      <c r="N90" s="23">
        <f t="shared" si="28"/>
        <v>-145412.31407078687</v>
      </c>
      <c r="O90" s="23">
        <f t="shared" si="28"/>
        <v>-150543.02499487519</v>
      </c>
      <c r="P90" s="23">
        <f t="shared" si="28"/>
        <v>-69938.592414294486</v>
      </c>
      <c r="Q90" s="23">
        <f t="shared" si="28"/>
        <v>-76661.726307639037</v>
      </c>
      <c r="R90" s="23">
        <f t="shared" si="28"/>
        <v>-77560.936368615381</v>
      </c>
      <c r="S90" s="23">
        <f t="shared" si="28"/>
        <v>-78142.210550185147</v>
      </c>
      <c r="T90" s="23">
        <f t="shared" si="28"/>
        <v>-82839.323715984588</v>
      </c>
      <c r="U90" s="23">
        <f t="shared" si="28"/>
        <v>-82622.246461575123</v>
      </c>
      <c r="V90" s="23">
        <f t="shared" si="28"/>
        <v>-82180.503477468737</v>
      </c>
      <c r="W90" s="23">
        <f t="shared" si="28"/>
        <v>-85276.25898304084</v>
      </c>
      <c r="X90" s="23">
        <f t="shared" si="28"/>
        <v>-87775.703329572192</v>
      </c>
      <c r="Y90" s="26">
        <f t="shared" si="28"/>
        <v>-83033.620957192048</v>
      </c>
    </row>
    <row r="91" spans="3:25" x14ac:dyDescent="0.25">
      <c r="C91" s="22" t="s">
        <v>80</v>
      </c>
      <c r="D91" s="23"/>
      <c r="E91" s="23"/>
      <c r="F91" s="23">
        <f t="shared" ref="F91:Y91" si="29">F58+F69+F80</f>
        <v>40</v>
      </c>
      <c r="G91" s="23">
        <f t="shared" si="29"/>
        <v>2400.2961842125878</v>
      </c>
      <c r="H91" s="23">
        <f t="shared" si="29"/>
        <v>4724.0208901144979</v>
      </c>
      <c r="I91" s="23">
        <f t="shared" si="29"/>
        <v>6222.2293179546359</v>
      </c>
      <c r="J91" s="23">
        <f t="shared" si="29"/>
        <v>7702.4440110252353</v>
      </c>
      <c r="K91" s="23">
        <f t="shared" si="29"/>
        <v>8451.986406333901</v>
      </c>
      <c r="L91" s="23">
        <f t="shared" si="29"/>
        <v>8517.8533224787971</v>
      </c>
      <c r="M91" s="23">
        <f t="shared" si="29"/>
        <v>8588.7924840493488</v>
      </c>
      <c r="N91" s="23">
        <f t="shared" si="29"/>
        <v>8052.4031494268474</v>
      </c>
      <c r="O91" s="23">
        <f t="shared" si="29"/>
        <v>6946.6808879602468</v>
      </c>
      <c r="P91" s="23">
        <f t="shared" si="29"/>
        <v>4616.9974739322315</v>
      </c>
      <c r="Q91" s="23">
        <f t="shared" si="29"/>
        <v>5635.810262913652</v>
      </c>
      <c r="R91" s="23">
        <f t="shared" si="29"/>
        <v>6192.3570579008619</v>
      </c>
      <c r="S91" s="23">
        <f t="shared" si="29"/>
        <v>6534.5907320534943</v>
      </c>
      <c r="T91" s="23">
        <f t="shared" si="29"/>
        <v>6677.6854009894105</v>
      </c>
      <c r="U91" s="23">
        <f t="shared" si="29"/>
        <v>6441.3332958885139</v>
      </c>
      <c r="V91" s="23">
        <f t="shared" si="29"/>
        <v>6035.5011763710654</v>
      </c>
      <c r="W91" s="23">
        <f t="shared" si="29"/>
        <v>5471.826613429349</v>
      </c>
      <c r="X91" s="23">
        <f t="shared" si="29"/>
        <v>4596.0078976014584</v>
      </c>
      <c r="Y91" s="26">
        <f t="shared" si="29"/>
        <v>3429.1371103787278</v>
      </c>
    </row>
    <row r="92" spans="3:25" x14ac:dyDescent="0.25">
      <c r="C92" s="38" t="s">
        <v>81</v>
      </c>
      <c r="D92" s="23"/>
      <c r="E92" s="23"/>
      <c r="F92" s="23">
        <f t="shared" ref="F92:Y92" si="30">F59+F70+F81</f>
        <v>0</v>
      </c>
      <c r="G92" s="23">
        <f t="shared" si="30"/>
        <v>0</v>
      </c>
      <c r="H92" s="23">
        <f t="shared" si="30"/>
        <v>0</v>
      </c>
      <c r="I92" s="23">
        <f t="shared" si="30"/>
        <v>0</v>
      </c>
      <c r="J92" s="23">
        <f t="shared" si="30"/>
        <v>0</v>
      </c>
      <c r="K92" s="23">
        <f t="shared" si="30"/>
        <v>0</v>
      </c>
      <c r="L92" s="23">
        <f t="shared" si="30"/>
        <v>0</v>
      </c>
      <c r="M92" s="23">
        <f t="shared" si="30"/>
        <v>0</v>
      </c>
      <c r="N92" s="23">
        <f t="shared" si="30"/>
        <v>0</v>
      </c>
      <c r="O92" s="23">
        <f t="shared" si="30"/>
        <v>0</v>
      </c>
      <c r="P92" s="23">
        <f t="shared" si="30"/>
        <v>0</v>
      </c>
      <c r="Q92" s="23">
        <f t="shared" si="30"/>
        <v>0</v>
      </c>
      <c r="R92" s="23">
        <f t="shared" si="30"/>
        <v>0</v>
      </c>
      <c r="S92" s="23">
        <f t="shared" si="30"/>
        <v>0</v>
      </c>
      <c r="T92" s="23">
        <f t="shared" si="30"/>
        <v>0</v>
      </c>
      <c r="U92" s="23">
        <f t="shared" si="30"/>
        <v>0</v>
      </c>
      <c r="V92" s="23">
        <f t="shared" si="30"/>
        <v>0</v>
      </c>
      <c r="W92" s="23">
        <f t="shared" si="30"/>
        <v>0</v>
      </c>
      <c r="X92" s="23">
        <f t="shared" si="30"/>
        <v>0</v>
      </c>
      <c r="Y92" s="26">
        <f t="shared" si="30"/>
        <v>0</v>
      </c>
    </row>
    <row r="93" spans="3:25" x14ac:dyDescent="0.25">
      <c r="C93" s="38" t="s">
        <v>82</v>
      </c>
      <c r="D93" s="23"/>
      <c r="E93" s="23"/>
      <c r="F93" s="23">
        <f t="shared" ref="F93:Y93" si="31">F60+F71+F82</f>
        <v>-15967.195394685275</v>
      </c>
      <c r="G93" s="23">
        <f t="shared" si="31"/>
        <v>-15465.074696664866</v>
      </c>
      <c r="H93" s="23">
        <f t="shared" si="31"/>
        <v>-16787.983798031077</v>
      </c>
      <c r="I93" s="23">
        <f t="shared" si="31"/>
        <v>-16235.317328111727</v>
      </c>
      <c r="J93" s="23">
        <f t="shared" si="31"/>
        <v>-17332.793661856631</v>
      </c>
      <c r="K93" s="23">
        <f t="shared" si="31"/>
        <v>-18287.163163730853</v>
      </c>
      <c r="L93" s="23">
        <f t="shared" si="31"/>
        <v>-17644.094166420648</v>
      </c>
      <c r="M93" s="23">
        <f t="shared" si="31"/>
        <v>-18421.110254471703</v>
      </c>
      <c r="N93" s="23">
        <f t="shared" si="31"/>
        <v>-19082.622722675063</v>
      </c>
      <c r="O93" s="23">
        <f t="shared" si="31"/>
        <v>-19637.830568593185</v>
      </c>
      <c r="P93" s="23">
        <f t="shared" si="31"/>
        <v>-7847.0703524712517</v>
      </c>
      <c r="Q93" s="23">
        <f t="shared" si="31"/>
        <v>-8544.8619071435787</v>
      </c>
      <c r="R93" s="23">
        <f t="shared" si="31"/>
        <v>-8657.6281075635488</v>
      </c>
      <c r="S93" s="23">
        <f t="shared" si="31"/>
        <v>-8736.2481267952735</v>
      </c>
      <c r="T93" s="23">
        <f t="shared" si="31"/>
        <v>-9224.2174816077841</v>
      </c>
      <c r="U93" s="23">
        <f t="shared" si="31"/>
        <v>-9218.4698923626311</v>
      </c>
      <c r="V93" s="23">
        <f t="shared" si="31"/>
        <v>-9188.238169916036</v>
      </c>
      <c r="W93" s="23">
        <f t="shared" si="31"/>
        <v>-9509.844297202977</v>
      </c>
      <c r="X93" s="23">
        <f t="shared" si="31"/>
        <v>-9769.8250984845035</v>
      </c>
      <c r="Y93" s="26">
        <f t="shared" si="31"/>
        <v>-9303.7514529104483</v>
      </c>
    </row>
    <row r="94" spans="3:25" x14ac:dyDescent="0.25">
      <c r="C94" s="39" t="s">
        <v>75</v>
      </c>
      <c r="D94" s="28"/>
      <c r="E94" s="28"/>
      <c r="F94" s="28">
        <f t="shared" ref="F94:Y94" si="32">F61+F72+F83</f>
        <v>-124927.19539468529</v>
      </c>
      <c r="G94" s="28">
        <f t="shared" si="32"/>
        <v>-57513.373907137538</v>
      </c>
      <c r="H94" s="28">
        <f t="shared" si="32"/>
        <v>-11189.661455054105</v>
      </c>
      <c r="I94" s="28">
        <f t="shared" si="32"/>
        <v>34236.348289108821</v>
      </c>
      <c r="J94" s="28">
        <f t="shared" si="32"/>
        <v>60986.140622343461</v>
      </c>
      <c r="K94" s="28">
        <f t="shared" si="32"/>
        <v>70253.708966441278</v>
      </c>
      <c r="L94" s="28">
        <f t="shared" si="32"/>
        <v>79261.70404734835</v>
      </c>
      <c r="M94" s="28">
        <f t="shared" si="32"/>
        <v>72733.242570923219</v>
      </c>
      <c r="N94" s="28">
        <f t="shared" si="32"/>
        <v>51634.746995043883</v>
      </c>
      <c r="O94" s="28">
        <f t="shared" si="32"/>
        <v>16855.598850022368</v>
      </c>
      <c r="P94" s="28">
        <f t="shared" si="32"/>
        <v>47444.131450118752</v>
      </c>
      <c r="Q94" s="28">
        <f t="shared" si="32"/>
        <v>66242.958890589318</v>
      </c>
      <c r="R94" s="28">
        <f t="shared" si="32"/>
        <v>79444.085742766212</v>
      </c>
      <c r="S94" s="28">
        <f t="shared" si="32"/>
        <v>87437.778385808895</v>
      </c>
      <c r="T94" s="28">
        <f t="shared" si="32"/>
        <v>85740.719051233653</v>
      </c>
      <c r="U94" s="28">
        <f t="shared" si="32"/>
        <v>79596.718462636214</v>
      </c>
      <c r="V94" s="28">
        <f t="shared" si="32"/>
        <v>69306.436882822949</v>
      </c>
      <c r="W94" s="28">
        <f t="shared" si="32"/>
        <v>51033.453324335649</v>
      </c>
      <c r="X94" s="28">
        <f t="shared" si="32"/>
        <v>25312.084494618102</v>
      </c>
      <c r="Y94" s="29">
        <f t="shared" si="32"/>
        <v>-3.2650859793648124E-10</v>
      </c>
    </row>
    <row r="95" spans="3:2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x14ac:dyDescent="0.25">
      <c r="C96" s="3" t="s">
        <v>86</v>
      </c>
    </row>
    <row r="97" spans="3:28" x14ac:dyDescent="0.25">
      <c r="C97" s="37" t="s">
        <v>74</v>
      </c>
      <c r="D97" s="20"/>
      <c r="E97" s="20"/>
      <c r="F97" s="20">
        <v>0</v>
      </c>
      <c r="G97" s="20">
        <f>F101</f>
        <v>189213.40714203159</v>
      </c>
      <c r="H97" s="20">
        <f t="shared" ref="H97:Y97" si="33">G101</f>
        <v>174120.25546666901</v>
      </c>
      <c r="I97" s="20">
        <f t="shared" si="33"/>
        <v>158704.74524201624</v>
      </c>
      <c r="J97" s="20">
        <f t="shared" si="33"/>
        <v>142952.81622032772</v>
      </c>
      <c r="K97" s="20">
        <f t="shared" si="33"/>
        <v>126847.50352554039</v>
      </c>
      <c r="L97" s="20">
        <f t="shared" si="33"/>
        <v>110373.4772444992</v>
      </c>
      <c r="M97" s="20">
        <f t="shared" si="33"/>
        <v>93514.751919716349</v>
      </c>
      <c r="N97" s="20">
        <f t="shared" si="33"/>
        <v>76252.448782610736</v>
      </c>
      <c r="O97" s="20">
        <f t="shared" si="33"/>
        <v>58569.162645741591</v>
      </c>
      <c r="P97" s="20">
        <f t="shared" si="33"/>
        <v>40446.752119962301</v>
      </c>
      <c r="Q97" s="20">
        <f t="shared" si="33"/>
        <v>36764.959960655338</v>
      </c>
      <c r="R97" s="20">
        <f t="shared" si="33"/>
        <v>33010.101985718058</v>
      </c>
      <c r="S97" s="20">
        <f t="shared" si="33"/>
        <v>29180.118598043027</v>
      </c>
      <c r="T97" s="20">
        <f t="shared" si="33"/>
        <v>25271.863711732422</v>
      </c>
      <c r="U97" s="20">
        <f t="shared" si="33"/>
        <v>21282.040150322711</v>
      </c>
      <c r="V97" s="20">
        <f t="shared" si="33"/>
        <v>17208.10418372713</v>
      </c>
      <c r="W97" s="20">
        <f t="shared" si="33"/>
        <v>13046.448402106893</v>
      </c>
      <c r="X97" s="20">
        <f t="shared" si="33"/>
        <v>8793.2973792730154</v>
      </c>
      <c r="Y97" s="21">
        <f t="shared" si="33"/>
        <v>4445.5705072737846</v>
      </c>
    </row>
    <row r="98" spans="3:28" x14ac:dyDescent="0.25">
      <c r="C98" s="22" t="s">
        <v>87</v>
      </c>
      <c r="D98" s="23"/>
      <c r="E98" s="23"/>
      <c r="F98" s="23">
        <f>(F9+F11)*-1</f>
        <v>204000</v>
      </c>
      <c r="G98" s="23">
        <f>(G9+G11)*-1</f>
        <v>0</v>
      </c>
      <c r="H98" s="23">
        <f t="shared" ref="H98:Y98" si="34">(H9+H11)*-1</f>
        <v>0</v>
      </c>
      <c r="I98" s="23">
        <f t="shared" si="34"/>
        <v>0</v>
      </c>
      <c r="J98" s="23">
        <f t="shared" si="34"/>
        <v>0</v>
      </c>
      <c r="K98" s="23">
        <f t="shared" si="34"/>
        <v>0</v>
      </c>
      <c r="L98" s="23">
        <f t="shared" si="34"/>
        <v>0</v>
      </c>
      <c r="M98" s="23">
        <f t="shared" si="34"/>
        <v>0</v>
      </c>
      <c r="N98" s="23">
        <f t="shared" si="34"/>
        <v>0</v>
      </c>
      <c r="O98" s="23">
        <f t="shared" si="34"/>
        <v>0</v>
      </c>
      <c r="P98" s="23">
        <f t="shared" si="34"/>
        <v>0</v>
      </c>
      <c r="Q98" s="23">
        <f t="shared" si="34"/>
        <v>0</v>
      </c>
      <c r="R98" s="23">
        <f t="shared" si="34"/>
        <v>0</v>
      </c>
      <c r="S98" s="23">
        <f t="shared" si="34"/>
        <v>0</v>
      </c>
      <c r="T98" s="23">
        <f t="shared" si="34"/>
        <v>0</v>
      </c>
      <c r="U98" s="23">
        <f t="shared" si="34"/>
        <v>0</v>
      </c>
      <c r="V98" s="23">
        <f t="shared" si="34"/>
        <v>0</v>
      </c>
      <c r="W98" s="23">
        <f t="shared" si="34"/>
        <v>0</v>
      </c>
      <c r="X98" s="23">
        <f t="shared" si="34"/>
        <v>0</v>
      </c>
      <c r="Y98" s="26">
        <f t="shared" si="34"/>
        <v>0</v>
      </c>
    </row>
    <row r="99" spans="3:28"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23">
        <f>(O97+O98)*Assumptions!M18</f>
        <v>2342.7665058296639</v>
      </c>
      <c r="P99" s="23">
        <f>(P97+P98)*Assumptions!N18</f>
        <v>1617.8700847984921</v>
      </c>
      <c r="Q99" s="23">
        <f>(Q97+Q98)*Assumptions!O18</f>
        <v>1470.5983984262136</v>
      </c>
      <c r="R99" s="23">
        <f>(R97+R98)*Assumptions!P18</f>
        <v>1320.4040794287223</v>
      </c>
      <c r="S99" s="23">
        <f>(S97+S98)*Assumptions!Q18</f>
        <v>1167.204743921721</v>
      </c>
      <c r="T99" s="23">
        <f>(T97+T98)*Assumptions!R18</f>
        <v>1010.8745484692969</v>
      </c>
      <c r="U99" s="23">
        <f>(U97+U98)*Assumptions!S18</f>
        <v>851.28160601290847</v>
      </c>
      <c r="V99" s="23">
        <f>(V97+V98)*Assumptions!T18</f>
        <v>688.3241673490852</v>
      </c>
      <c r="W99" s="23">
        <f>(W97+W98)*Assumptions!U18</f>
        <v>521.85793608427571</v>
      </c>
      <c r="X99" s="23">
        <f>(X97+X98)*Assumptions!V18</f>
        <v>351.73189517092061</v>
      </c>
      <c r="Y99" s="26">
        <f>(Y97+Y98)*Assumptions!W18</f>
        <v>177.8228202909514</v>
      </c>
    </row>
    <row r="100" spans="3:28" x14ac:dyDescent="0.25">
      <c r="C100" s="22" t="s">
        <v>89</v>
      </c>
      <c r="D100" s="23"/>
      <c r="E100" s="23"/>
      <c r="F100" s="23">
        <f>-SUM(F97:F99)*F36/SUM(F36:$Y$36)</f>
        <v>-22946.592857968397</v>
      </c>
      <c r="G100" s="23">
        <f>-SUM(G97:G99)*G36/SUM(G36:$Y$36)</f>
        <v>-22661.687961043859</v>
      </c>
      <c r="H100" s="23">
        <f>-SUM(H97:H99)*H36/SUM(H36:$Y$36)</f>
        <v>-22380.320443319535</v>
      </c>
      <c r="I100" s="23">
        <f>-SUM(I97:I99)*I36/SUM(I36:$Y$36)</f>
        <v>-22100.118831369178</v>
      </c>
      <c r="J100" s="23">
        <f>-SUM(J97:J99)*J36/SUM(J36:$Y$36)</f>
        <v>-21823.425343600433</v>
      </c>
      <c r="K100" s="23">
        <f>-SUM(K97:K99)*K36/SUM(K36:$Y$36)</f>
        <v>-21547.926422062828</v>
      </c>
      <c r="L100" s="23">
        <f>-SUM(L97:L99)*L36/SUM(L36:$Y$36)</f>
        <v>-21273.664414562823</v>
      </c>
      <c r="M100" s="23">
        <f>-SUM(M97:M99)*M36/SUM(M36:$Y$36)</f>
        <v>-21002.893213894266</v>
      </c>
      <c r="N100" s="23">
        <f>-SUM(N97:N99)*N36/SUM(N36:$Y$36)</f>
        <v>-20733.384088173574</v>
      </c>
      <c r="O100" s="23">
        <f>-SUM(O97:O99)*O36/SUM(O36:$Y$36)</f>
        <v>-20465.177031608957</v>
      </c>
      <c r="P100" s="23">
        <f>-SUM(P97:P99)*P36/SUM(P36:$Y$36)</f>
        <v>-5299.6622441054551</v>
      </c>
      <c r="Q100" s="23">
        <f>-SUM(Q97:Q99)*Q36/SUM(Q36:$Y$36)</f>
        <v>-5225.4563733634914</v>
      </c>
      <c r="R100" s="23">
        <f>-SUM(R97:R99)*R36/SUM(R36:$Y$36)</f>
        <v>-5150.3874671037529</v>
      </c>
      <c r="S100" s="23">
        <f>-SUM(S97:S99)*S36/SUM(S36:$Y$36)</f>
        <v>-5075.4596302323262</v>
      </c>
      <c r="T100" s="23">
        <f>-SUM(T97:T99)*T36/SUM(T36:$Y$36)</f>
        <v>-5000.6981098790038</v>
      </c>
      <c r="U100" s="23">
        <f>-SUM(U97:U99)*U36/SUM(U36:$Y$36)</f>
        <v>-4925.2175726084897</v>
      </c>
      <c r="V100" s="23">
        <f>-SUM(V97:V99)*V36/SUM(V36:$Y$36)</f>
        <v>-4849.9799489693223</v>
      </c>
      <c r="W100" s="23">
        <f>-SUM(W97:W99)*W36/SUM(W36:$Y$36)</f>
        <v>-4775.0089589181543</v>
      </c>
      <c r="X100" s="23">
        <f>-SUM(X97:X99)*X36/SUM(X36:$Y$36)</f>
        <v>-4699.4587671701511</v>
      </c>
      <c r="Y100" s="26">
        <f>-SUM(Y97:Y99)*Y36/SUM(Y36:$Y$36)</f>
        <v>-4623.393327564736</v>
      </c>
    </row>
    <row r="101" spans="3:28" x14ac:dyDescent="0.25">
      <c r="C101" s="39" t="s">
        <v>75</v>
      </c>
      <c r="D101" s="28"/>
      <c r="E101" s="28"/>
      <c r="F101" s="28">
        <f>SUM(F97:F100)</f>
        <v>189213.40714203159</v>
      </c>
      <c r="G101" s="28">
        <f>SUM(G97:G100)</f>
        <v>174120.25546666901</v>
      </c>
      <c r="H101" s="28">
        <f t="shared" ref="H101:Y101" si="35">SUM(H97:H100)</f>
        <v>158704.74524201624</v>
      </c>
      <c r="I101" s="28">
        <f t="shared" si="35"/>
        <v>142952.81622032772</v>
      </c>
      <c r="J101" s="28">
        <f t="shared" si="35"/>
        <v>126847.50352554039</v>
      </c>
      <c r="K101" s="28">
        <f t="shared" si="35"/>
        <v>110373.4772444992</v>
      </c>
      <c r="L101" s="28">
        <f t="shared" si="35"/>
        <v>93514.751919716349</v>
      </c>
      <c r="M101" s="28">
        <f t="shared" si="35"/>
        <v>76252.448782610736</v>
      </c>
      <c r="N101" s="28">
        <f t="shared" si="35"/>
        <v>58569.162645741591</v>
      </c>
      <c r="O101" s="28">
        <f t="shared" si="35"/>
        <v>40446.752119962301</v>
      </c>
      <c r="P101" s="28">
        <f t="shared" si="35"/>
        <v>36764.959960655338</v>
      </c>
      <c r="Q101" s="28">
        <f t="shared" si="35"/>
        <v>33010.101985718058</v>
      </c>
      <c r="R101" s="28">
        <f t="shared" si="35"/>
        <v>29180.118598043027</v>
      </c>
      <c r="S101" s="28">
        <f t="shared" si="35"/>
        <v>25271.863711732422</v>
      </c>
      <c r="T101" s="28">
        <f t="shared" si="35"/>
        <v>21282.040150322711</v>
      </c>
      <c r="U101" s="28">
        <f t="shared" si="35"/>
        <v>17208.10418372713</v>
      </c>
      <c r="V101" s="28">
        <f t="shared" si="35"/>
        <v>13046.448402106893</v>
      </c>
      <c r="W101" s="28">
        <f t="shared" si="35"/>
        <v>8793.2973792730154</v>
      </c>
      <c r="X101" s="28">
        <f t="shared" si="35"/>
        <v>4445.5705072737846</v>
      </c>
      <c r="Y101" s="29">
        <f t="shared" si="35"/>
        <v>0</v>
      </c>
      <c r="Z101" s="23"/>
    </row>
    <row r="103" spans="3:28" x14ac:dyDescent="0.25">
      <c r="C103" s="3" t="s">
        <v>27</v>
      </c>
      <c r="AB103" s="7" t="s">
        <v>47</v>
      </c>
    </row>
    <row r="104" spans="3:28" x14ac:dyDescent="0.25">
      <c r="C104" s="19" t="s">
        <v>54</v>
      </c>
      <c r="D104" s="20"/>
      <c r="E104" s="20"/>
      <c r="F104" s="20">
        <f>-F82</f>
        <v>7967.1953946852755</v>
      </c>
      <c r="G104" s="20">
        <f t="shared" ref="G104:Y104" si="36">-G82</f>
        <v>7868.2746966648656</v>
      </c>
      <c r="H104" s="20">
        <f t="shared" si="36"/>
        <v>7770.5821980310729</v>
      </c>
      <c r="I104" s="20">
        <f t="shared" si="36"/>
        <v>7673.2945089117256</v>
      </c>
      <c r="J104" s="20">
        <f t="shared" si="36"/>
        <v>7577.2248616601501</v>
      </c>
      <c r="K104" s="20">
        <f t="shared" si="36"/>
        <v>7481.5699750065542</v>
      </c>
      <c r="L104" s="20">
        <f t="shared" si="36"/>
        <v>7386.3445523646733</v>
      </c>
      <c r="M104" s="20">
        <f t="shared" si="36"/>
        <v>7292.3311589021732</v>
      </c>
      <c r="N104" s="20">
        <f t="shared" si="36"/>
        <v>7198.7559654711413</v>
      </c>
      <c r="O104" s="20">
        <f t="shared" si="36"/>
        <v>7105.6328583018058</v>
      </c>
      <c r="P104" s="20">
        <f t="shared" si="36"/>
        <v>1840.0746849858356</v>
      </c>
      <c r="Q104" s="20">
        <f t="shared" si="36"/>
        <v>1814.309959246664</v>
      </c>
      <c r="R104" s="20">
        <f t="shared" si="36"/>
        <v>1788.2455823721273</v>
      </c>
      <c r="S104" s="20">
        <f t="shared" si="36"/>
        <v>1762.2301856397769</v>
      </c>
      <c r="T104" s="20">
        <f t="shared" si="36"/>
        <v>1736.2725350053033</v>
      </c>
      <c r="U104" s="20">
        <f t="shared" si="36"/>
        <v>1710.0652373619332</v>
      </c>
      <c r="V104" s="20">
        <f t="shared" si="36"/>
        <v>1683.9422807959922</v>
      </c>
      <c r="W104" s="20">
        <f t="shared" si="36"/>
        <v>1657.9119010194477</v>
      </c>
      <c r="X104" s="20">
        <f t="shared" si="36"/>
        <v>1631.6804189215177</v>
      </c>
      <c r="Y104" s="21">
        <f t="shared" si="36"/>
        <v>1605.2700396608541</v>
      </c>
      <c r="Z104" s="23"/>
      <c r="AB104" s="2">
        <f>NPV(0.04,F104:Z104)</f>
        <v>70830.029999481776</v>
      </c>
    </row>
    <row r="105" spans="3:28" x14ac:dyDescent="0.25">
      <c r="C105" s="22" t="s">
        <v>55</v>
      </c>
      <c r="D105" s="23"/>
      <c r="E105" s="23"/>
      <c r="F105" s="23">
        <f>-F71</f>
        <v>8000</v>
      </c>
      <c r="G105" s="23">
        <f t="shared" ref="G105:Y105" si="37">-G71</f>
        <v>7596.8</v>
      </c>
      <c r="H105" s="23">
        <f t="shared" si="37"/>
        <v>9017.4016000000029</v>
      </c>
      <c r="I105" s="23">
        <f t="shared" si="37"/>
        <v>8562.0228192000013</v>
      </c>
      <c r="J105" s="23">
        <f t="shared" si="37"/>
        <v>9755.5688001964809</v>
      </c>
      <c r="K105" s="23">
        <f t="shared" si="37"/>
        <v>10805.593188724297</v>
      </c>
      <c r="L105" s="23">
        <f t="shared" si="37"/>
        <v>10257.749614055976</v>
      </c>
      <c r="M105" s="23">
        <f t="shared" si="37"/>
        <v>11128.779095569529</v>
      </c>
      <c r="N105" s="23">
        <f t="shared" si="37"/>
        <v>11883.866757203921</v>
      </c>
      <c r="O105" s="23">
        <f t="shared" si="37"/>
        <v>12532.197710291379</v>
      </c>
      <c r="P105" s="23">
        <f t="shared" si="37"/>
        <v>6006.9956674854157</v>
      </c>
      <c r="Q105" s="23">
        <f t="shared" si="37"/>
        <v>6730.5519478969145</v>
      </c>
      <c r="R105" s="23">
        <f t="shared" si="37"/>
        <v>6869.3825251914213</v>
      </c>
      <c r="S105" s="23">
        <f t="shared" si="37"/>
        <v>6974.0179411554964</v>
      </c>
      <c r="T105" s="23">
        <f t="shared" si="37"/>
        <v>7487.9449466024807</v>
      </c>
      <c r="U105" s="23">
        <f t="shared" si="37"/>
        <v>7508.4046550006969</v>
      </c>
      <c r="V105" s="23">
        <f t="shared" si="37"/>
        <v>7504.2958891200433</v>
      </c>
      <c r="W105" s="23">
        <f t="shared" si="37"/>
        <v>7851.9323961835289</v>
      </c>
      <c r="X105" s="23">
        <f t="shared" si="37"/>
        <v>8138.1446795629854</v>
      </c>
      <c r="Y105" s="26">
        <f t="shared" si="37"/>
        <v>7698.4814132495949</v>
      </c>
      <c r="Z105" s="23"/>
      <c r="AB105" s="2">
        <f t="shared" ref="AB105:AB107" si="38">NPV(0.04,F105:Z105)</f>
        <v>118881.96824108734</v>
      </c>
    </row>
    <row r="106" spans="3:28" x14ac:dyDescent="0.25">
      <c r="C106" s="22" t="s">
        <v>90</v>
      </c>
      <c r="D106" s="23"/>
      <c r="E106" s="23"/>
      <c r="F106" s="23">
        <f t="shared" ref="F106:Y106" si="39">-F15</f>
        <v>80000</v>
      </c>
      <c r="G106" s="23">
        <f t="shared" si="39"/>
        <v>75968</v>
      </c>
      <c r="H106" s="23">
        <f t="shared" si="39"/>
        <v>90174.016000000018</v>
      </c>
      <c r="I106" s="23">
        <f t="shared" si="39"/>
        <v>85620.22819200001</v>
      </c>
      <c r="J106" s="23">
        <f t="shared" si="39"/>
        <v>97555.688001964809</v>
      </c>
      <c r="K106" s="23">
        <f t="shared" si="39"/>
        <v>108055.93188724296</v>
      </c>
      <c r="L106" s="23">
        <f t="shared" si="39"/>
        <v>102577.49614055976</v>
      </c>
      <c r="M106" s="23">
        <f t="shared" si="39"/>
        <v>111287.79095569528</v>
      </c>
      <c r="N106" s="23">
        <f t="shared" si="39"/>
        <v>118838.66757203921</v>
      </c>
      <c r="O106" s="23">
        <f t="shared" si="39"/>
        <v>125321.97710291378</v>
      </c>
      <c r="P106" s="23">
        <f t="shared" si="39"/>
        <v>60069.956674854155</v>
      </c>
      <c r="Q106" s="23">
        <f t="shared" si="39"/>
        <v>67305.519478969145</v>
      </c>
      <c r="R106" s="23">
        <f t="shared" si="39"/>
        <v>68693.825251914212</v>
      </c>
      <c r="S106" s="23">
        <f t="shared" si="39"/>
        <v>69740.179411554956</v>
      </c>
      <c r="T106" s="23">
        <f t="shared" si="39"/>
        <v>74879.449466024802</v>
      </c>
      <c r="U106" s="23">
        <f t="shared" si="39"/>
        <v>75084.046550006969</v>
      </c>
      <c r="V106" s="23">
        <f t="shared" si="39"/>
        <v>75042.958891200426</v>
      </c>
      <c r="W106" s="23">
        <f t="shared" si="39"/>
        <v>78519.323961835282</v>
      </c>
      <c r="X106" s="23">
        <f t="shared" si="39"/>
        <v>81381.446795629847</v>
      </c>
      <c r="Y106" s="26">
        <f t="shared" si="39"/>
        <v>76984.814132495943</v>
      </c>
      <c r="Z106" s="23"/>
      <c r="AB106" s="2">
        <f t="shared" si="38"/>
        <v>1188819.6824108735</v>
      </c>
    </row>
    <row r="107" spans="3:28" x14ac:dyDescent="0.25">
      <c r="C107" s="22" t="s">
        <v>57</v>
      </c>
      <c r="D107" s="23"/>
      <c r="E107" s="23"/>
      <c r="F107" s="23">
        <f t="shared" ref="F107:Y107" si="40">-F10-F12</f>
        <v>30000</v>
      </c>
      <c r="G107" s="23">
        <f t="shared" si="40"/>
        <v>38221.4</v>
      </c>
      <c r="H107" s="23">
        <f t="shared" si="40"/>
        <v>36295.041440000001</v>
      </c>
      <c r="I107" s="23">
        <f t="shared" si="40"/>
        <v>34462.141847280007</v>
      </c>
      <c r="J107" s="23">
        <f t="shared" si="40"/>
        <v>32721.803683992362</v>
      </c>
      <c r="K107" s="23">
        <f t="shared" si="40"/>
        <v>31066.08041758235</v>
      </c>
      <c r="L107" s="23">
        <f t="shared" si="40"/>
        <v>29491.030140410927</v>
      </c>
      <c r="M107" s="23">
        <f t="shared" si="40"/>
        <v>27995.834912292092</v>
      </c>
      <c r="N107" s="23">
        <f t="shared" si="40"/>
        <v>26573.646498747654</v>
      </c>
      <c r="O107" s="23">
        <f t="shared" si="40"/>
        <v>25221.0478919614</v>
      </c>
      <c r="P107" s="23">
        <f t="shared" si="40"/>
        <v>9868.635739440324</v>
      </c>
      <c r="Q107" s="23">
        <f t="shared" si="40"/>
        <v>9356.2068286698868</v>
      </c>
      <c r="R107" s="23">
        <f t="shared" si="40"/>
        <v>8867.1111167011695</v>
      </c>
      <c r="S107" s="23">
        <f t="shared" si="40"/>
        <v>8402.0311386301928</v>
      </c>
      <c r="T107" s="23">
        <f t="shared" si="40"/>
        <v>7959.8742499597793</v>
      </c>
      <c r="U107" s="23">
        <f t="shared" si="40"/>
        <v>7538.1999115681592</v>
      </c>
      <c r="V107" s="23">
        <f t="shared" si="40"/>
        <v>7137.5445862683118</v>
      </c>
      <c r="W107" s="23">
        <f t="shared" si="40"/>
        <v>6756.9350212055542</v>
      </c>
      <c r="X107" s="23">
        <f t="shared" si="40"/>
        <v>6394.2565339423454</v>
      </c>
      <c r="Y107" s="26">
        <f t="shared" si="40"/>
        <v>6048.8068246961102</v>
      </c>
      <c r="Z107" s="23"/>
      <c r="AB107" s="2">
        <f t="shared" si="38"/>
        <v>299602.63018187706</v>
      </c>
    </row>
    <row r="108" spans="3:28" x14ac:dyDescent="0.25">
      <c r="C108" s="22" t="s">
        <v>56</v>
      </c>
      <c r="D108" s="23"/>
      <c r="E108" s="23"/>
      <c r="F108" s="23">
        <f>-F100</f>
        <v>22946.592857968397</v>
      </c>
      <c r="G108" s="23">
        <f t="shared" ref="G108:Y108" si="41">-G100</f>
        <v>22661.687961043859</v>
      </c>
      <c r="H108" s="23">
        <f t="shared" si="41"/>
        <v>22380.320443319535</v>
      </c>
      <c r="I108" s="23">
        <f t="shared" si="41"/>
        <v>22100.118831369178</v>
      </c>
      <c r="J108" s="23">
        <f t="shared" si="41"/>
        <v>21823.425343600433</v>
      </c>
      <c r="K108" s="23">
        <f t="shared" si="41"/>
        <v>21547.926422062828</v>
      </c>
      <c r="L108" s="23">
        <f t="shared" si="41"/>
        <v>21273.664414562823</v>
      </c>
      <c r="M108" s="23">
        <f t="shared" si="41"/>
        <v>21002.893213894266</v>
      </c>
      <c r="N108" s="23">
        <f t="shared" si="41"/>
        <v>20733.384088173574</v>
      </c>
      <c r="O108" s="23">
        <f t="shared" si="41"/>
        <v>20465.177031608957</v>
      </c>
      <c r="P108" s="23">
        <f t="shared" si="41"/>
        <v>5299.6622441054551</v>
      </c>
      <c r="Q108" s="23">
        <f t="shared" si="41"/>
        <v>5225.4563733634914</v>
      </c>
      <c r="R108" s="23">
        <f t="shared" si="41"/>
        <v>5150.3874671037529</v>
      </c>
      <c r="S108" s="23">
        <f t="shared" si="41"/>
        <v>5075.4596302323262</v>
      </c>
      <c r="T108" s="23">
        <f t="shared" si="41"/>
        <v>5000.6981098790038</v>
      </c>
      <c r="U108" s="23">
        <f t="shared" si="41"/>
        <v>4925.2175726084897</v>
      </c>
      <c r="V108" s="23">
        <f t="shared" si="41"/>
        <v>4849.9799489693223</v>
      </c>
      <c r="W108" s="23">
        <f t="shared" si="41"/>
        <v>4775.0089589181543</v>
      </c>
      <c r="X108" s="23">
        <f t="shared" si="41"/>
        <v>4699.4587671701511</v>
      </c>
      <c r="Y108" s="26">
        <f t="shared" si="41"/>
        <v>4623.393327564736</v>
      </c>
      <c r="Z108" s="23"/>
      <c r="AB108" s="2">
        <f>NPV(0.04,F108:Z108)</f>
        <v>203999.99999999997</v>
      </c>
    </row>
    <row r="109" spans="3:28" x14ac:dyDescent="0.25">
      <c r="C109" s="57" t="s">
        <v>28</v>
      </c>
      <c r="D109" s="23"/>
      <c r="E109" s="23"/>
      <c r="F109" s="52">
        <f>SUM(F104:F108)</f>
        <v>148913.78825265367</v>
      </c>
      <c r="G109" s="52">
        <f t="shared" ref="G109:Y109" si="42">SUM(G104:G108)</f>
        <v>152316.16265770872</v>
      </c>
      <c r="H109" s="52">
        <f t="shared" si="42"/>
        <v>165637.36168135062</v>
      </c>
      <c r="I109" s="52">
        <f t="shared" si="42"/>
        <v>158417.80619876093</v>
      </c>
      <c r="J109" s="52">
        <f t="shared" si="42"/>
        <v>169433.71069141422</v>
      </c>
      <c r="K109" s="52">
        <f t="shared" si="42"/>
        <v>178957.101890619</v>
      </c>
      <c r="L109" s="52">
        <f t="shared" si="42"/>
        <v>170986.28486195416</v>
      </c>
      <c r="M109" s="52">
        <f t="shared" si="42"/>
        <v>178707.62933635333</v>
      </c>
      <c r="N109" s="52">
        <f t="shared" si="42"/>
        <v>185228.3208816355</v>
      </c>
      <c r="O109" s="52">
        <f t="shared" si="42"/>
        <v>190646.03259507733</v>
      </c>
      <c r="P109" s="52">
        <f t="shared" si="42"/>
        <v>83085.325010871195</v>
      </c>
      <c r="Q109" s="52">
        <f t="shared" si="42"/>
        <v>90432.044588146106</v>
      </c>
      <c r="R109" s="52">
        <f t="shared" si="42"/>
        <v>91368.951943282678</v>
      </c>
      <c r="S109" s="52">
        <f t="shared" si="42"/>
        <v>91953.918307212734</v>
      </c>
      <c r="T109" s="52">
        <f t="shared" si="42"/>
        <v>97064.239307471362</v>
      </c>
      <c r="U109" s="52">
        <f t="shared" si="42"/>
        <v>96765.933926546248</v>
      </c>
      <c r="V109" s="52">
        <f t="shared" si="42"/>
        <v>96218.721596354095</v>
      </c>
      <c r="W109" s="52">
        <f t="shared" si="42"/>
        <v>99561.112239161972</v>
      </c>
      <c r="X109" s="52">
        <f t="shared" si="42"/>
        <v>102244.98719522684</v>
      </c>
      <c r="Y109" s="59">
        <f t="shared" si="42"/>
        <v>96960.765737667243</v>
      </c>
      <c r="Z109" s="23"/>
      <c r="AB109" s="52">
        <f>SUM(AB104:AB108)</f>
        <v>1882134.3108333196</v>
      </c>
    </row>
    <row r="110" spans="3:28"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x14ac:dyDescent="0.25">
      <c r="C111" s="22" t="s">
        <v>58</v>
      </c>
      <c r="D111" s="23"/>
      <c r="E111" s="23"/>
      <c r="F111" s="23">
        <f t="shared" ref="F111:Y111" si="43">F26</f>
        <v>-80000</v>
      </c>
      <c r="G111" s="23">
        <f t="shared" si="43"/>
        <v>-75968</v>
      </c>
      <c r="H111" s="23">
        <f t="shared" si="43"/>
        <v>-90174.016000000018</v>
      </c>
      <c r="I111" s="23">
        <f t="shared" si="43"/>
        <v>-85620.22819200001</v>
      </c>
      <c r="J111" s="23">
        <f t="shared" si="43"/>
        <v>-97555.688001964809</v>
      </c>
      <c r="K111" s="23">
        <f t="shared" si="43"/>
        <v>-108055.93188724296</v>
      </c>
      <c r="L111" s="23">
        <f t="shared" si="43"/>
        <v>-102577.49614055976</v>
      </c>
      <c r="M111" s="23">
        <f t="shared" si="43"/>
        <v>-111287.79095569528</v>
      </c>
      <c r="N111" s="23">
        <f t="shared" si="43"/>
        <v>-118838.66757203921</v>
      </c>
      <c r="O111" s="23">
        <f t="shared" si="43"/>
        <v>-125321.97710291378</v>
      </c>
      <c r="P111" s="23">
        <f t="shared" si="43"/>
        <v>-60069.956674854155</v>
      </c>
      <c r="Q111" s="23">
        <f t="shared" si="43"/>
        <v>-67305.519478969145</v>
      </c>
      <c r="R111" s="23">
        <f t="shared" si="43"/>
        <v>-68693.825251914212</v>
      </c>
      <c r="S111" s="23">
        <f t="shared" si="43"/>
        <v>-69740.179411554956</v>
      </c>
      <c r="T111" s="23">
        <f t="shared" si="43"/>
        <v>-74879.449466024802</v>
      </c>
      <c r="U111" s="23">
        <f t="shared" si="43"/>
        <v>-75084.046550006969</v>
      </c>
      <c r="V111" s="23">
        <f t="shared" si="43"/>
        <v>-75042.958891200426</v>
      </c>
      <c r="W111" s="23">
        <f t="shared" si="43"/>
        <v>-78519.323961835282</v>
      </c>
      <c r="X111" s="23">
        <f t="shared" si="43"/>
        <v>-81381.446795629847</v>
      </c>
      <c r="Y111" s="26">
        <f t="shared" si="43"/>
        <v>-76984.814132495943</v>
      </c>
      <c r="Z111" s="23"/>
      <c r="AB111" s="6">
        <f t="shared" ref="AB111:AB119" si="44">NPV(0.04,F111:Z111)</f>
        <v>-1188819.6824108735</v>
      </c>
    </row>
    <row r="112" spans="3:28" x14ac:dyDescent="0.25">
      <c r="C112" s="22" t="s">
        <v>59</v>
      </c>
      <c r="D112" s="23"/>
      <c r="E112" s="23"/>
      <c r="F112" s="23">
        <f t="shared" ref="F112:Y112" si="45">F21+F23</f>
        <v>-30000</v>
      </c>
      <c r="G112" s="23">
        <f t="shared" si="45"/>
        <v>-38221.4</v>
      </c>
      <c r="H112" s="23">
        <f t="shared" si="45"/>
        <v>-36295.041440000001</v>
      </c>
      <c r="I112" s="23">
        <f t="shared" si="45"/>
        <v>-34462.141847280007</v>
      </c>
      <c r="J112" s="23">
        <f t="shared" si="45"/>
        <v>-32721.803683992362</v>
      </c>
      <c r="K112" s="23">
        <f t="shared" si="45"/>
        <v>-31066.08041758235</v>
      </c>
      <c r="L112" s="23">
        <f t="shared" si="45"/>
        <v>-29491.030140410927</v>
      </c>
      <c r="M112" s="23">
        <f t="shared" si="45"/>
        <v>-27995.834912292092</v>
      </c>
      <c r="N112" s="23">
        <f t="shared" si="45"/>
        <v>-26573.646498747654</v>
      </c>
      <c r="O112" s="23">
        <f t="shared" si="45"/>
        <v>-25221.0478919614</v>
      </c>
      <c r="P112" s="23">
        <f t="shared" si="45"/>
        <v>-9868.635739440324</v>
      </c>
      <c r="Q112" s="23">
        <f t="shared" si="45"/>
        <v>-9356.2068286698868</v>
      </c>
      <c r="R112" s="23">
        <f t="shared" si="45"/>
        <v>-8867.1111167011695</v>
      </c>
      <c r="S112" s="23">
        <f t="shared" si="45"/>
        <v>-8402.0311386301928</v>
      </c>
      <c r="T112" s="23">
        <f t="shared" si="45"/>
        <v>-7959.8742499597793</v>
      </c>
      <c r="U112" s="23">
        <f t="shared" si="45"/>
        <v>-7538.1999115681592</v>
      </c>
      <c r="V112" s="23">
        <f t="shared" si="45"/>
        <v>-7137.5445862683118</v>
      </c>
      <c r="W112" s="23">
        <f t="shared" si="45"/>
        <v>-6756.9350212055542</v>
      </c>
      <c r="X112" s="23">
        <f t="shared" si="45"/>
        <v>-6394.2565339423454</v>
      </c>
      <c r="Y112" s="26">
        <f t="shared" si="45"/>
        <v>-6048.8068246961102</v>
      </c>
      <c r="Z112" s="23"/>
      <c r="AB112" s="6">
        <f t="shared" si="44"/>
        <v>-299602.63018187706</v>
      </c>
    </row>
    <row r="113" spans="2:30" x14ac:dyDescent="0.25">
      <c r="C113" s="22" t="s">
        <v>60</v>
      </c>
      <c r="D113" s="23"/>
      <c r="E113" s="23"/>
      <c r="F113" s="23">
        <f>F100</f>
        <v>-22946.592857968397</v>
      </c>
      <c r="G113" s="23">
        <f t="shared" ref="G113:Y113" si="46">G100</f>
        <v>-22661.687961043859</v>
      </c>
      <c r="H113" s="23">
        <f t="shared" si="46"/>
        <v>-22380.320443319535</v>
      </c>
      <c r="I113" s="23">
        <f t="shared" si="46"/>
        <v>-22100.118831369178</v>
      </c>
      <c r="J113" s="23">
        <f t="shared" si="46"/>
        <v>-21823.425343600433</v>
      </c>
      <c r="K113" s="23">
        <f t="shared" si="46"/>
        <v>-21547.926422062828</v>
      </c>
      <c r="L113" s="23">
        <f t="shared" si="46"/>
        <v>-21273.664414562823</v>
      </c>
      <c r="M113" s="23">
        <f t="shared" si="46"/>
        <v>-21002.893213894266</v>
      </c>
      <c r="N113" s="23">
        <f t="shared" si="46"/>
        <v>-20733.384088173574</v>
      </c>
      <c r="O113" s="23">
        <f t="shared" si="46"/>
        <v>-20465.177031608957</v>
      </c>
      <c r="P113" s="23">
        <f t="shared" si="46"/>
        <v>-5299.6622441054551</v>
      </c>
      <c r="Q113" s="23">
        <f t="shared" si="46"/>
        <v>-5225.4563733634914</v>
      </c>
      <c r="R113" s="23">
        <f t="shared" si="46"/>
        <v>-5150.3874671037529</v>
      </c>
      <c r="S113" s="23">
        <f t="shared" si="46"/>
        <v>-5075.4596302323262</v>
      </c>
      <c r="T113" s="23">
        <f t="shared" si="46"/>
        <v>-5000.6981098790038</v>
      </c>
      <c r="U113" s="23">
        <f t="shared" si="46"/>
        <v>-4925.2175726084897</v>
      </c>
      <c r="V113" s="23">
        <f t="shared" si="46"/>
        <v>-4849.9799489693223</v>
      </c>
      <c r="W113" s="23">
        <f t="shared" si="46"/>
        <v>-4775.0089589181543</v>
      </c>
      <c r="X113" s="23">
        <f t="shared" si="46"/>
        <v>-4699.4587671701511</v>
      </c>
      <c r="Y113" s="26">
        <f t="shared" si="46"/>
        <v>-4623.393327564736</v>
      </c>
      <c r="Z113" s="23"/>
      <c r="AB113" s="6">
        <f t="shared" si="44"/>
        <v>-203999.99999999997</v>
      </c>
    </row>
    <row r="114" spans="2:30" x14ac:dyDescent="0.25">
      <c r="C114" s="57" t="s">
        <v>29</v>
      </c>
      <c r="D114" s="23"/>
      <c r="E114" s="23"/>
      <c r="F114" s="52">
        <f>SUM(F111:F113)</f>
        <v>-132946.59285796841</v>
      </c>
      <c r="G114" s="52">
        <f t="shared" ref="G114:Y114" si="47">SUM(G111:G113)</f>
        <v>-136851.08796104384</v>
      </c>
      <c r="H114" s="52">
        <f t="shared" si="47"/>
        <v>-148849.37788331957</v>
      </c>
      <c r="I114" s="52">
        <f t="shared" si="47"/>
        <v>-142182.48887064919</v>
      </c>
      <c r="J114" s="52">
        <f t="shared" si="47"/>
        <v>-152100.9170295576</v>
      </c>
      <c r="K114" s="52">
        <f t="shared" si="47"/>
        <v>-160669.93872688813</v>
      </c>
      <c r="L114" s="52">
        <f t="shared" si="47"/>
        <v>-153342.19069553353</v>
      </c>
      <c r="M114" s="52">
        <f t="shared" si="47"/>
        <v>-160286.51908188165</v>
      </c>
      <c r="N114" s="52">
        <f t="shared" si="47"/>
        <v>-166145.69815896044</v>
      </c>
      <c r="O114" s="52">
        <f t="shared" si="47"/>
        <v>-171008.20202648416</v>
      </c>
      <c r="P114" s="52">
        <f t="shared" si="47"/>
        <v>-75238.254658399936</v>
      </c>
      <c r="Q114" s="52">
        <f t="shared" si="47"/>
        <v>-81887.182681002523</v>
      </c>
      <c r="R114" s="52">
        <f t="shared" si="47"/>
        <v>-82711.323835719129</v>
      </c>
      <c r="S114" s="52">
        <f t="shared" si="47"/>
        <v>-83217.670180417481</v>
      </c>
      <c r="T114" s="52">
        <f t="shared" si="47"/>
        <v>-87840.021825863587</v>
      </c>
      <c r="U114" s="52">
        <f t="shared" si="47"/>
        <v>-87547.46403418362</v>
      </c>
      <c r="V114" s="52">
        <f t="shared" si="47"/>
        <v>-87030.483426438062</v>
      </c>
      <c r="W114" s="52">
        <f t="shared" si="47"/>
        <v>-90051.267941958999</v>
      </c>
      <c r="X114" s="52">
        <f t="shared" si="47"/>
        <v>-92475.162096742337</v>
      </c>
      <c r="Y114" s="59">
        <f t="shared" si="47"/>
        <v>-87657.014284756791</v>
      </c>
      <c r="Z114" s="23"/>
      <c r="AB114" s="52">
        <f>SUM(AB111:AB113)</f>
        <v>-1692422.3125927504</v>
      </c>
    </row>
    <row r="115" spans="2:30"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x14ac:dyDescent="0.25">
      <c r="C116" s="57" t="s">
        <v>30</v>
      </c>
      <c r="D116" s="23"/>
      <c r="E116" s="23"/>
      <c r="F116" s="52">
        <f t="shared" ref="F116:Y116" si="48">F24+F25</f>
        <v>-80000</v>
      </c>
      <c r="G116" s="52">
        <f t="shared" si="48"/>
        <v>-18992</v>
      </c>
      <c r="H116" s="52">
        <f t="shared" si="48"/>
        <v>-18034.803200000002</v>
      </c>
      <c r="I116" s="52">
        <f t="shared" si="48"/>
        <v>-17124.045638400003</v>
      </c>
      <c r="J116" s="52">
        <f t="shared" si="48"/>
        <v>-16259.281333660801</v>
      </c>
      <c r="K116" s="52">
        <f t="shared" si="48"/>
        <v>-15436.561698177566</v>
      </c>
      <c r="L116" s="52">
        <f t="shared" si="48"/>
        <v>-14653.928020079964</v>
      </c>
      <c r="M116" s="52">
        <f t="shared" si="48"/>
        <v>-13910.973869461908</v>
      </c>
      <c r="N116" s="52">
        <f t="shared" si="48"/>
        <v>-13204.296396893244</v>
      </c>
      <c r="O116" s="52">
        <f t="shared" si="48"/>
        <v>-12532.197710291377</v>
      </c>
      <c r="P116" s="52">
        <f t="shared" si="48"/>
        <v>-3120.517229862553</v>
      </c>
      <c r="Q116" s="52">
        <f t="shared" si="48"/>
        <v>-2958.4843727019406</v>
      </c>
      <c r="R116" s="52">
        <f t="shared" si="48"/>
        <v>-2803.8296021189467</v>
      </c>
      <c r="S116" s="52">
        <f t="shared" si="48"/>
        <v>-2656.7687394878076</v>
      </c>
      <c r="T116" s="52">
        <f t="shared" si="48"/>
        <v>-2516.9562845722621</v>
      </c>
      <c r="U116" s="52">
        <f t="shared" si="48"/>
        <v>-2383.6205253970465</v>
      </c>
      <c r="V116" s="52">
        <f t="shared" si="48"/>
        <v>-2256.9310944721933</v>
      </c>
      <c r="W116" s="52">
        <f t="shared" si="48"/>
        <v>-2136.5802438594637</v>
      </c>
      <c r="X116" s="52">
        <f t="shared" si="48"/>
        <v>-2021.8992992703068</v>
      </c>
      <c r="Y116" s="59">
        <f t="shared" si="48"/>
        <v>-1912.6661896272285</v>
      </c>
      <c r="Z116" s="23"/>
      <c r="AB116" s="3">
        <f>NPV(0.04,F25:Y25)+F24</f>
        <v>-205877.20911183197</v>
      </c>
    </row>
    <row r="117" spans="2:30"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23">
        <f>SUM(K86:K87)*Assumptions!I19+SUM(K8:K11)*Assumptions!I19</f>
        <v>9508.4847071256372</v>
      </c>
      <c r="L118" s="23">
        <f>SUM(L86:L87)*Assumptions!J19+SUM(L8:L11)*Assumptions!J19</f>
        <v>9582.5849877886467</v>
      </c>
      <c r="M118" s="23">
        <f>SUM(M86:M87)*Assumptions!K19+SUM(M8:M11)*Assumptions!K19</f>
        <v>9662.3915445555158</v>
      </c>
      <c r="N118" s="23">
        <f>SUM(N86:N87)*Assumptions!L19+SUM(N8:N11)*Assumptions!L19</f>
        <v>9058.9535431052027</v>
      </c>
      <c r="O118" s="23">
        <f>SUM(O86:O87)*Assumptions!M19+SUM(O8:O11)*Assumptions!M19</f>
        <v>7815.0159989552776</v>
      </c>
      <c r="P118" s="23">
        <f>SUM(P86:P87)*Assumptions!N19+SUM(P8:P11)*Assumptions!N19</f>
        <v>5194.1221581737591</v>
      </c>
      <c r="Q118" s="23">
        <f>SUM(Q86:Q87)*Assumptions!O19+SUM(Q8:Q11)*Assumptions!O19</f>
        <v>6340.286545777858</v>
      </c>
      <c r="R118" s="23">
        <f>SUM(R86:R87)*Assumptions!P19+SUM(R8:R11)*Assumptions!P19</f>
        <v>6966.4016901384693</v>
      </c>
      <c r="S118" s="23">
        <f>SUM(S86:S87)*Assumptions!Q19+SUM(S8:S11)*Assumptions!Q19</f>
        <v>7351.4145735601796</v>
      </c>
      <c r="T118" s="23">
        <f>SUM(T86:T87)*Assumptions!R19+SUM(T8:T11)*Assumptions!R19</f>
        <v>7512.3960761130857</v>
      </c>
      <c r="U118" s="23">
        <f>SUM(U86:U87)*Assumptions!S19+SUM(U8:U11)*Assumptions!S19</f>
        <v>7246.4999578745783</v>
      </c>
      <c r="V118" s="23">
        <f>SUM(V86:V87)*Assumptions!T19+SUM(V8:V11)*Assumptions!T19</f>
        <v>6789.9388234174476</v>
      </c>
      <c r="W118" s="23">
        <f>SUM(W86:W87)*Assumptions!U19+SUM(W8:W11)*Assumptions!U19</f>
        <v>6155.8049401080189</v>
      </c>
      <c r="X118" s="23">
        <f>SUM(X86:X87)*Assumptions!V19+SUM(X8:X11)*Assumptions!V19</f>
        <v>5170.5088848016403</v>
      </c>
      <c r="Y118" s="26">
        <f>SUM(Y86:Y87)*Assumptions!W19+SUM(Y8:Y11)*Assumptions!W19</f>
        <v>3857.7792491760679</v>
      </c>
      <c r="Z118" s="23"/>
      <c r="AB118" s="6">
        <f t="shared" si="44"/>
        <v>88414.234404427771</v>
      </c>
    </row>
    <row r="119" spans="2:30" x14ac:dyDescent="0.25">
      <c r="C119" s="38" t="s">
        <v>32</v>
      </c>
      <c r="D119" s="23"/>
      <c r="E119" s="23"/>
      <c r="F119" s="23">
        <f>-F91</f>
        <v>-40</v>
      </c>
      <c r="G119" s="23">
        <f t="shared" ref="G119:Y119" si="49">-G91</f>
        <v>-2400.2961842125878</v>
      </c>
      <c r="H119" s="23">
        <f t="shared" si="49"/>
        <v>-4724.0208901144979</v>
      </c>
      <c r="I119" s="23">
        <f t="shared" si="49"/>
        <v>-6222.2293179546359</v>
      </c>
      <c r="J119" s="23">
        <f t="shared" si="49"/>
        <v>-7702.4440110252353</v>
      </c>
      <c r="K119" s="23">
        <f t="shared" si="49"/>
        <v>-8451.986406333901</v>
      </c>
      <c r="L119" s="23">
        <f t="shared" si="49"/>
        <v>-8517.8533224787971</v>
      </c>
      <c r="M119" s="23">
        <f t="shared" si="49"/>
        <v>-8588.7924840493488</v>
      </c>
      <c r="N119" s="23">
        <f t="shared" si="49"/>
        <v>-8052.4031494268474</v>
      </c>
      <c r="O119" s="23">
        <f t="shared" si="49"/>
        <v>-6946.6808879602468</v>
      </c>
      <c r="P119" s="23">
        <f t="shared" si="49"/>
        <v>-4616.9974739322315</v>
      </c>
      <c r="Q119" s="23">
        <f t="shared" si="49"/>
        <v>-5635.810262913652</v>
      </c>
      <c r="R119" s="23">
        <f t="shared" si="49"/>
        <v>-6192.3570579008619</v>
      </c>
      <c r="S119" s="23">
        <f t="shared" si="49"/>
        <v>-6534.5907320534943</v>
      </c>
      <c r="T119" s="23">
        <f t="shared" si="49"/>
        <v>-6677.6854009894105</v>
      </c>
      <c r="U119" s="23">
        <f t="shared" si="49"/>
        <v>-6441.3332958885139</v>
      </c>
      <c r="V119" s="23">
        <f t="shared" si="49"/>
        <v>-6035.5011763710654</v>
      </c>
      <c r="W119" s="23">
        <f t="shared" si="49"/>
        <v>-5471.826613429349</v>
      </c>
      <c r="X119" s="23">
        <f t="shared" si="49"/>
        <v>-4596.0078976014584</v>
      </c>
      <c r="Y119" s="26">
        <f t="shared" si="49"/>
        <v>-3429.1371103787278</v>
      </c>
      <c r="Z119" s="23"/>
      <c r="AB119" s="6">
        <f t="shared" si="44"/>
        <v>-78590.43058171359</v>
      </c>
    </row>
    <row r="120" spans="2:30" x14ac:dyDescent="0.25">
      <c r="C120" s="57" t="s">
        <v>61</v>
      </c>
      <c r="D120" s="23"/>
      <c r="E120" s="23"/>
      <c r="F120" s="52">
        <f>SUM(F118:F119)</f>
        <v>5</v>
      </c>
      <c r="G120" s="52">
        <f t="shared" ref="G120:Y120" si="50">SUM(G118:G119)</f>
        <v>300.0370230265753</v>
      </c>
      <c r="H120" s="52">
        <f t="shared" si="50"/>
        <v>590.50261126431178</v>
      </c>
      <c r="I120" s="52">
        <f t="shared" si="50"/>
        <v>777.77866474432903</v>
      </c>
      <c r="J120" s="52">
        <f t="shared" si="50"/>
        <v>962.80550137815317</v>
      </c>
      <c r="K120" s="52">
        <f t="shared" si="50"/>
        <v>1056.4983007917363</v>
      </c>
      <c r="L120" s="52">
        <f t="shared" si="50"/>
        <v>1064.7316653098496</v>
      </c>
      <c r="M120" s="52">
        <f t="shared" si="50"/>
        <v>1073.599060506167</v>
      </c>
      <c r="N120" s="52">
        <f t="shared" si="50"/>
        <v>1006.5503936783552</v>
      </c>
      <c r="O120" s="52">
        <f t="shared" si="50"/>
        <v>868.33511099503085</v>
      </c>
      <c r="P120" s="52">
        <f t="shared" si="50"/>
        <v>577.12468424152758</v>
      </c>
      <c r="Q120" s="52">
        <f t="shared" si="50"/>
        <v>704.47628286420604</v>
      </c>
      <c r="R120" s="52">
        <f t="shared" si="50"/>
        <v>774.0446322376074</v>
      </c>
      <c r="S120" s="52">
        <f t="shared" si="50"/>
        <v>816.82384150668531</v>
      </c>
      <c r="T120" s="52">
        <f t="shared" si="50"/>
        <v>834.71067512367517</v>
      </c>
      <c r="U120" s="52">
        <f t="shared" si="50"/>
        <v>805.16666198606436</v>
      </c>
      <c r="V120" s="52">
        <f t="shared" si="50"/>
        <v>754.43764704638215</v>
      </c>
      <c r="W120" s="52">
        <f t="shared" si="50"/>
        <v>683.97832667866987</v>
      </c>
      <c r="X120" s="52">
        <f t="shared" si="50"/>
        <v>574.50098720018195</v>
      </c>
      <c r="Y120" s="59">
        <f t="shared" si="50"/>
        <v>428.64213879734007</v>
      </c>
      <c r="Z120" s="23"/>
      <c r="AB120" s="52">
        <f>SUM(AB118:AB119)</f>
        <v>9823.8038227141806</v>
      </c>
      <c r="AC120" s="7"/>
      <c r="AD120" s="7"/>
    </row>
    <row r="121" spans="2:30"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x14ac:dyDescent="0.25">
      <c r="C122" s="58" t="s">
        <v>96</v>
      </c>
      <c r="D122" s="28"/>
      <c r="E122" s="28"/>
      <c r="F122" s="60">
        <f t="shared" ref="F122:Y122" si="51">F109+F114+F116+F120</f>
        <v>-64027.804605314741</v>
      </c>
      <c r="G122" s="60">
        <f>G109+G114+G116+G120</f>
        <v>-3226.8882803085517</v>
      </c>
      <c r="H122" s="60">
        <f t="shared" si="51"/>
        <v>-656.31679070463542</v>
      </c>
      <c r="I122" s="60">
        <f t="shared" si="51"/>
        <v>-110.94964554393937</v>
      </c>
      <c r="J122" s="60">
        <f t="shared" si="51"/>
        <v>2036.3178295739681</v>
      </c>
      <c r="K122" s="60">
        <f t="shared" si="51"/>
        <v>3907.0997663450453</v>
      </c>
      <c r="L122" s="60">
        <f t="shared" si="51"/>
        <v>4054.8978116505186</v>
      </c>
      <c r="M122" s="60">
        <f t="shared" si="51"/>
        <v>5583.7354455159439</v>
      </c>
      <c r="N122" s="60">
        <f t="shared" si="51"/>
        <v>6884.8767194601751</v>
      </c>
      <c r="O122" s="60">
        <f t="shared" si="51"/>
        <v>7973.9679692968239</v>
      </c>
      <c r="P122" s="60">
        <f t="shared" si="51"/>
        <v>5303.6778068502335</v>
      </c>
      <c r="Q122" s="60">
        <f t="shared" si="51"/>
        <v>6290.8538173058478</v>
      </c>
      <c r="R122" s="60">
        <f t="shared" si="51"/>
        <v>6627.8431376822091</v>
      </c>
      <c r="S122" s="60">
        <f t="shared" si="51"/>
        <v>6896.3032288141312</v>
      </c>
      <c r="T122" s="60">
        <f t="shared" si="51"/>
        <v>7541.971872159188</v>
      </c>
      <c r="U122" s="60">
        <f t="shared" si="51"/>
        <v>7640.0160289516452</v>
      </c>
      <c r="V122" s="60">
        <f t="shared" si="51"/>
        <v>7685.7447224902216</v>
      </c>
      <c r="W122" s="60">
        <f t="shared" si="51"/>
        <v>8057.2423800221795</v>
      </c>
      <c r="X122" s="60">
        <f t="shared" si="51"/>
        <v>8322.4267864143821</v>
      </c>
      <c r="Y122" s="61">
        <f t="shared" si="51"/>
        <v>7819.7274020805635</v>
      </c>
      <c r="Z122" s="23"/>
      <c r="AB122" s="3">
        <f>AB109+AB114+AB116+AB120</f>
        <v>-6341.4070485486445</v>
      </c>
      <c r="AC122" s="2">
        <f>NPV(0.04,F118:Y118)+NPV(0.04,F119:Y119)</f>
        <v>9823.8038227141806</v>
      </c>
      <c r="AD122" s="3">
        <f>AB122-AC122</f>
        <v>-16165.210871262825</v>
      </c>
    </row>
    <row r="124" spans="2:30" ht="42.8" x14ac:dyDescent="0.25">
      <c r="C124" s="66" t="s">
        <v>91</v>
      </c>
      <c r="F124" s="2">
        <f t="shared" ref="F124:Y124" si="52">F104+F105+F13+F14+F120</f>
        <v>-64027.804605314726</v>
      </c>
      <c r="G124" s="2">
        <f t="shared" si="52"/>
        <v>-3226.8882803085589</v>
      </c>
      <c r="H124" s="2">
        <f t="shared" si="52"/>
        <v>-656.3167907046136</v>
      </c>
      <c r="I124" s="2">
        <f t="shared" si="52"/>
        <v>-110.94964554394664</v>
      </c>
      <c r="J124" s="2">
        <f t="shared" si="52"/>
        <v>2036.3178295739826</v>
      </c>
      <c r="K124" s="2">
        <f t="shared" si="52"/>
        <v>3907.0997663450235</v>
      </c>
      <c r="L124" s="2">
        <f t="shared" si="52"/>
        <v>4054.8978116505332</v>
      </c>
      <c r="M124" s="2">
        <f t="shared" si="52"/>
        <v>5583.7354455159621</v>
      </c>
      <c r="N124" s="2">
        <f t="shared" si="52"/>
        <v>6884.8767194601751</v>
      </c>
      <c r="O124" s="2">
        <f t="shared" si="52"/>
        <v>7973.9679692968384</v>
      </c>
      <c r="P124" s="2">
        <f t="shared" si="52"/>
        <v>5303.6778068502263</v>
      </c>
      <c r="Q124" s="2">
        <f t="shared" si="52"/>
        <v>6290.8538173058441</v>
      </c>
      <c r="R124" s="2">
        <f t="shared" si="52"/>
        <v>6627.8431376822091</v>
      </c>
      <c r="S124" s="2">
        <f t="shared" si="52"/>
        <v>6896.3032288141512</v>
      </c>
      <c r="T124" s="2">
        <f t="shared" si="52"/>
        <v>7541.9718721591971</v>
      </c>
      <c r="U124" s="2">
        <f t="shared" si="52"/>
        <v>7640.0160289516489</v>
      </c>
      <c r="V124" s="2">
        <f t="shared" si="52"/>
        <v>7685.7447224902253</v>
      </c>
      <c r="W124" s="2">
        <f t="shared" si="52"/>
        <v>8057.2423800221832</v>
      </c>
      <c r="X124" s="2">
        <f t="shared" si="52"/>
        <v>8322.4267864143785</v>
      </c>
      <c r="Y124" s="2">
        <f t="shared" si="52"/>
        <v>7819.7274020805598</v>
      </c>
      <c r="Z124" s="23"/>
    </row>
    <row r="125" spans="2:30" x14ac:dyDescent="0.25">
      <c r="B125" s="4"/>
    </row>
    <row r="126" spans="2:30"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D164"/>
  <sheetViews>
    <sheetView zoomScale="90" zoomScaleNormal="90" workbookViewId="0">
      <pane xSplit="5" ySplit="5" topLeftCell="F96" activePane="bottomRight" state="frozen"/>
      <selection pane="topRight" activeCell="F1" sqref="F1"/>
      <selection pane="bottomLeft" activeCell="A6" sqref="A6"/>
      <selection pane="bottomRight" activeCell="C122" sqref="C122"/>
    </sheetView>
  </sheetViews>
  <sheetFormatPr defaultColWidth="9.125" defaultRowHeight="14.3" x14ac:dyDescent="0.25"/>
  <cols>
    <col min="1" max="1" width="4.125" style="2" customWidth="1"/>
    <col min="2" max="2" width="5.625" style="2" customWidth="1"/>
    <col min="3" max="3" width="46.75" style="2" bestFit="1" customWidth="1"/>
    <col min="4" max="4" width="1.25" style="2" customWidth="1"/>
    <col min="5" max="6" width="10.125" style="2" customWidth="1"/>
    <col min="7" max="27" width="9.125" style="2"/>
    <col min="28" max="28" width="12.125" style="2" customWidth="1"/>
    <col min="29" max="16384" width="9.125" style="2"/>
  </cols>
  <sheetData>
    <row r="2" spans="2:28" ht="15.8" x14ac:dyDescent="0.25">
      <c r="B2" s="13" t="s">
        <v>69</v>
      </c>
    </row>
    <row r="3" spans="2:28" ht="14.95" x14ac:dyDescent="0.25">
      <c r="B3" s="4" t="s">
        <v>62</v>
      </c>
    </row>
    <row r="5" spans="2:28" ht="14.95"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ht="14.95" x14ac:dyDescent="0.25">
      <c r="F6" s="1"/>
      <c r="G6" s="1"/>
      <c r="H6" s="1"/>
      <c r="I6" s="1"/>
      <c r="J6" s="1"/>
      <c r="K6" s="1"/>
      <c r="L6" s="1"/>
      <c r="M6" s="1"/>
      <c r="N6" s="1"/>
      <c r="O6" s="1"/>
      <c r="P6" s="1"/>
      <c r="Q6" s="1"/>
      <c r="R6" s="1"/>
      <c r="S6" s="1"/>
      <c r="T6" s="1"/>
      <c r="U6" s="1"/>
      <c r="V6" s="1"/>
      <c r="W6" s="1"/>
      <c r="X6" s="1"/>
      <c r="Y6" s="1"/>
    </row>
    <row r="7" spans="2:28" ht="14.95" x14ac:dyDescent="0.25">
      <c r="C7" s="3" t="s">
        <v>44</v>
      </c>
      <c r="F7" s="1"/>
      <c r="G7" s="1"/>
      <c r="H7" s="1"/>
      <c r="I7" s="1"/>
      <c r="J7" s="1"/>
      <c r="K7" s="1"/>
      <c r="L7" s="1"/>
      <c r="M7" s="1"/>
      <c r="N7" s="1"/>
      <c r="O7" s="1"/>
      <c r="P7" s="1"/>
      <c r="Q7" s="1"/>
      <c r="R7" s="1"/>
      <c r="S7" s="1"/>
      <c r="T7" s="1"/>
      <c r="U7" s="1"/>
      <c r="V7" s="1"/>
      <c r="W7" s="1"/>
      <c r="X7" s="1"/>
      <c r="Y7" s="1"/>
    </row>
    <row r="8" spans="2:28" ht="14.95" x14ac:dyDescent="0.25">
      <c r="B8" s="2" t="s">
        <v>22</v>
      </c>
      <c r="C8" s="30" t="s">
        <v>0</v>
      </c>
      <c r="D8" s="20"/>
      <c r="E8" s="20"/>
      <c r="F8" s="20">
        <f>F36*(Assumptions!D8*Assumptions!$D$6/1000+Assumptions!D9)</f>
        <v>205000</v>
      </c>
      <c r="G8" s="20">
        <f>G36*(Assumptions!E8*Assumptions!$D$6/1000+Assumptions!E9)</f>
        <v>194668</v>
      </c>
      <c r="H8" s="20">
        <f>H36*(Assumptions!F8*Assumptions!$D$6/1000+Assumptions!F9)</f>
        <v>184856.7328</v>
      </c>
      <c r="I8" s="20">
        <f>I36*(Assumptions!G8*Assumptions!$D$6/1000+Assumptions!G9)</f>
        <v>175521.46779360002</v>
      </c>
      <c r="J8" s="20">
        <f>J36*(Assumptions!H8*Assumptions!$D$6/1000+Assumptions!H9)</f>
        <v>166657.63367002321</v>
      </c>
      <c r="K8" s="20">
        <f>K36*(Assumptions!I8*Assumptions!$D$6/1000+Assumptions!I9)</f>
        <v>158224.75740632004</v>
      </c>
      <c r="L8" s="20">
        <f>L36*(Assumptions!J8*Assumptions!$D$6/1000+Assumptions!J9)</f>
        <v>150202.76220581963</v>
      </c>
      <c r="M8" s="20">
        <f>M36*(Assumptions!K8*Assumptions!$D$6/1000+Assumptions!K9)</f>
        <v>142587.48216198458</v>
      </c>
      <c r="N8" s="20">
        <f>N36*(Assumptions!L8*Assumptions!$D$6/1000+Assumptions!L9)</f>
        <v>135344.03806815576</v>
      </c>
      <c r="O8" s="20">
        <f>O36*(Assumptions!M8*Assumptions!$D$6/1000+Assumptions!M9)</f>
        <v>128455.02653048662</v>
      </c>
      <c r="P8" s="20">
        <f>P36*(Assumptions!N8*Assumptions!$D$6/1000+Assumptions!N9)</f>
        <v>103757.19789292989</v>
      </c>
      <c r="Q8" s="20">
        <f>Q36*(Assumptions!O8*Assumptions!$D$6/1000+Assumptions!O9)</f>
        <v>98369.605392339523</v>
      </c>
      <c r="R8" s="20">
        <f>R36*(Assumptions!P8*Assumptions!$D$6/1000+Assumptions!P9)</f>
        <v>93227.334270454972</v>
      </c>
      <c r="S8" s="20">
        <f>S36*(Assumptions!Q8*Assumptions!$D$6/1000+Assumptions!Q9)</f>
        <v>88337.560587969609</v>
      </c>
      <c r="T8" s="20">
        <f>T36*(Assumptions!R8*Assumptions!$D$6/1000+Assumptions!R9)</f>
        <v>83688.79646202772</v>
      </c>
      <c r="U8" s="20">
        <f>U36*(Assumptions!S8*Assumptions!$D$6/1000+Assumptions!S9)</f>
        <v>79255.382469451797</v>
      </c>
      <c r="V8" s="20">
        <f>V36*(Assumptions!T8*Assumptions!$D$6/1000+Assumptions!T9)</f>
        <v>75042.958891200426</v>
      </c>
      <c r="W8" s="20">
        <f>W36*(Assumptions!U8*Assumptions!$D$6/1000+Assumptions!U9)</f>
        <v>71041.293108327169</v>
      </c>
      <c r="X8" s="20">
        <f>X36*(Assumptions!V8*Assumptions!$D$6/1000+Assumptions!V9)</f>
        <v>67228.151700737697</v>
      </c>
      <c r="Y8" s="21">
        <f>Y36*(Assumptions!W8*Assumptions!$D$6/1000+Assumptions!W9)</f>
        <v>63596.150805105346</v>
      </c>
      <c r="Z8" s="23"/>
    </row>
    <row r="9" spans="2:28" ht="14.95"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ht="14.95"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ht="14.95" x14ac:dyDescent="0.25">
      <c r="B11" s="2" t="s">
        <v>22</v>
      </c>
      <c r="C11" s="31" t="s">
        <v>19</v>
      </c>
      <c r="D11" s="23"/>
      <c r="E11" s="23"/>
      <c r="F11" s="23">
        <f>-F36*Assumptions!D11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ht="14.95" x14ac:dyDescent="0.25">
      <c r="B12" s="2" t="s">
        <v>23</v>
      </c>
      <c r="C12" s="31" t="s">
        <v>66</v>
      </c>
      <c r="D12" s="23"/>
      <c r="E12" s="23"/>
      <c r="F12" s="23">
        <f>-F36*Assumptions!D13</f>
        <v>-30000</v>
      </c>
      <c r="G12" s="23">
        <f>-G36*Assumptions!E13</f>
        <v>-28488</v>
      </c>
      <c r="H12" s="23">
        <f>-H36*Assumptions!F13</f>
        <v>-27052.204800000003</v>
      </c>
      <c r="I12" s="23">
        <f>-I36*Assumptions!G13</f>
        <v>-25686.068457600006</v>
      </c>
      <c r="J12" s="23">
        <f>-J36*Assumptions!H13</f>
        <v>-24388.922000491202</v>
      </c>
      <c r="K12" s="23">
        <f>-K36*Assumptions!I13</f>
        <v>-23154.842547266348</v>
      </c>
      <c r="L12" s="23">
        <f>-L36*Assumptions!J13</f>
        <v>-21980.892030119947</v>
      </c>
      <c r="M12" s="23">
        <f>-M36*Assumptions!K13</f>
        <v>-20866.460804192862</v>
      </c>
      <c r="N12" s="23">
        <f>-N36*Assumptions!L13</f>
        <v>-19806.444595339864</v>
      </c>
      <c r="O12" s="23">
        <f>-O36*Assumptions!M13</f>
        <v>-18798.296565437067</v>
      </c>
      <c r="P12" s="23">
        <f>-P36*Assumptions!N13</f>
        <v>-4680.7758447938295</v>
      </c>
      <c r="Q12" s="23">
        <f>-Q36*Assumptions!O13</f>
        <v>-4437.7265590529105</v>
      </c>
      <c r="R12" s="23">
        <f>-R36*Assumptions!P13</f>
        <v>-4205.7444031784198</v>
      </c>
      <c r="S12" s="23">
        <f>-S36*Assumptions!Q13</f>
        <v>-3985.1531092317118</v>
      </c>
      <c r="T12" s="23">
        <f>-T36*Assumptions!R13</f>
        <v>-3775.4344268583932</v>
      </c>
      <c r="U12" s="23">
        <f>-U36*Assumptions!S13</f>
        <v>-3575.4307880955698</v>
      </c>
      <c r="V12" s="23">
        <f>-V36*Assumptions!T13</f>
        <v>-3385.3966417082902</v>
      </c>
      <c r="W12" s="23">
        <f>-W36*Assumptions!U13</f>
        <v>-3204.8703657891956</v>
      </c>
      <c r="X12" s="23">
        <f>-X36*Assumptions!V13</f>
        <v>-3032.84894890546</v>
      </c>
      <c r="Y12" s="26">
        <f>-Y36*Assumptions!W13</f>
        <v>-2868.9992844408425</v>
      </c>
      <c r="Z12" s="23"/>
    </row>
    <row r="13" spans="2:28" ht="14.95" x14ac:dyDescent="0.25">
      <c r="B13" s="2" t="s">
        <v>22</v>
      </c>
      <c r="C13" s="31" t="s">
        <v>20</v>
      </c>
      <c r="D13" s="23"/>
      <c r="E13" s="23"/>
      <c r="F13" s="23">
        <f>-F36*Assumptions!D12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ht="14.95" x14ac:dyDescent="0.25">
      <c r="B14" s="2" t="s">
        <v>23</v>
      </c>
      <c r="C14" s="31" t="s">
        <v>67</v>
      </c>
      <c r="D14" s="23"/>
      <c r="E14" s="23"/>
      <c r="F14" s="23">
        <f>-F36*Assumptions!D14</f>
        <v>-20000</v>
      </c>
      <c r="G14" s="23">
        <f>-G36*Assumptions!E14</f>
        <v>-18992</v>
      </c>
      <c r="H14" s="23">
        <f>-H36*Assumptions!F14</f>
        <v>-18034.803200000002</v>
      </c>
      <c r="I14" s="23">
        <f>-I36*Assumptions!G14</f>
        <v>-17124.045638400003</v>
      </c>
      <c r="J14" s="23">
        <f>-J36*Assumptions!H14</f>
        <v>-16259.281333660801</v>
      </c>
      <c r="K14" s="23">
        <f>-K36*Assumptions!I14</f>
        <v>-15436.561698177566</v>
      </c>
      <c r="L14" s="23">
        <f>-L36*Assumptions!J14</f>
        <v>-14653.928020079964</v>
      </c>
      <c r="M14" s="23">
        <f>-M36*Assumptions!K14</f>
        <v>-13910.973869461908</v>
      </c>
      <c r="N14" s="23">
        <f>-N36*Assumptions!L14</f>
        <v>-13204.296396893244</v>
      </c>
      <c r="O14" s="23">
        <f>-O36*Assumptions!M14</f>
        <v>-12532.197710291377</v>
      </c>
      <c r="P14" s="23">
        <f>-P36*Assumptions!N14</f>
        <v>-3120.517229862553</v>
      </c>
      <c r="Q14" s="23">
        <f>-Q36*Assumptions!O14</f>
        <v>-2958.4843727019406</v>
      </c>
      <c r="R14" s="23">
        <f>-R36*Assumptions!P14</f>
        <v>-2803.8296021189467</v>
      </c>
      <c r="S14" s="23">
        <f>-S36*Assumptions!Q14</f>
        <v>-2656.7687394878076</v>
      </c>
      <c r="T14" s="23">
        <f>-T36*Assumptions!R14</f>
        <v>-2516.9562845722621</v>
      </c>
      <c r="U14" s="23">
        <f>-U36*Assumptions!S14</f>
        <v>-2383.6205253970465</v>
      </c>
      <c r="V14" s="23">
        <f>-V36*Assumptions!T14</f>
        <v>-2256.9310944721933</v>
      </c>
      <c r="W14" s="23">
        <f>-W36*Assumptions!U14</f>
        <v>-2136.5802438594637</v>
      </c>
      <c r="X14" s="23">
        <f>-X36*Assumptions!V14</f>
        <v>-2021.8992992703068</v>
      </c>
      <c r="Y14" s="26">
        <f>-Y36*Assumptions!W14</f>
        <v>-1912.6661896272285</v>
      </c>
      <c r="Z14" s="23"/>
    </row>
    <row r="15" spans="2:28" ht="14.95" x14ac:dyDescent="0.25">
      <c r="B15" s="2" t="s">
        <v>23</v>
      </c>
      <c r="C15" s="31" t="s">
        <v>1</v>
      </c>
      <c r="D15" s="23"/>
      <c r="E15" s="23"/>
      <c r="F15" s="23">
        <f>-F37*Assumptions!$D$6</f>
        <v>-80000</v>
      </c>
      <c r="G15" s="23">
        <f>-G37*Assumptions!$D$6</f>
        <v>-75968</v>
      </c>
      <c r="H15" s="23">
        <f>-H37*Assumptions!$D$6</f>
        <v>-90174.016000000018</v>
      </c>
      <c r="I15" s="23">
        <f>-I37*Assumptions!$D$6</f>
        <v>-85620.22819200001</v>
      </c>
      <c r="J15" s="23">
        <f>-J37*Assumptions!$D$6</f>
        <v>-97555.688001964809</v>
      </c>
      <c r="K15" s="23">
        <f>-K37*Assumptions!$D$6</f>
        <v>-108055.93188724296</v>
      </c>
      <c r="L15" s="23">
        <f>-L37*Assumptions!$D$6</f>
        <v>-102577.49614055976</v>
      </c>
      <c r="M15" s="23">
        <f>-M37*Assumptions!$D$6</f>
        <v>-111287.79095569528</v>
      </c>
      <c r="N15" s="23">
        <f>-N37*Assumptions!$D$6</f>
        <v>-118838.66757203921</v>
      </c>
      <c r="O15" s="23">
        <f>-O37*Assumptions!$D$6</f>
        <v>-125321.97710291378</v>
      </c>
      <c r="P15" s="23">
        <f>-P37*Assumptions!$D$6</f>
        <v>-60069.956674854155</v>
      </c>
      <c r="Q15" s="23">
        <f>-Q37*Assumptions!$D$6</f>
        <v>-67305.519478969145</v>
      </c>
      <c r="R15" s="23">
        <f>-R37*Assumptions!$D$6</f>
        <v>-68693.825251914212</v>
      </c>
      <c r="S15" s="23">
        <f>-S37*Assumptions!$D$6</f>
        <v>-69740.179411554956</v>
      </c>
      <c r="T15" s="23">
        <f>-T37*Assumptions!$D$6</f>
        <v>-74879.449466024802</v>
      </c>
      <c r="U15" s="23">
        <f>-U37*Assumptions!$D$6</f>
        <v>-75084.046550006969</v>
      </c>
      <c r="V15" s="23">
        <f>-V37*Assumptions!$D$6</f>
        <v>-75042.958891200426</v>
      </c>
      <c r="W15" s="23">
        <f>-W37*Assumptions!$D$6</f>
        <v>-78519.323961835282</v>
      </c>
      <c r="X15" s="23">
        <f>-X37*Assumptions!$D$6</f>
        <v>-81381.446795629847</v>
      </c>
      <c r="Y15" s="26">
        <f>-Y37*Assumptions!$D$6</f>
        <v>-76984.814132495943</v>
      </c>
      <c r="Z15" s="23"/>
    </row>
    <row r="16" spans="2:28" ht="14.95" x14ac:dyDescent="0.25">
      <c r="C16" s="32" t="s">
        <v>21</v>
      </c>
      <c r="D16" s="28"/>
      <c r="E16" s="28"/>
      <c r="F16" s="28">
        <f t="shared" ref="F16:Y16" si="1">SUM(F8:F15)</f>
        <v>-189000</v>
      </c>
      <c r="G16" s="28">
        <f>SUM(G8:G15)</f>
        <v>61486.600000000006</v>
      </c>
      <c r="H16" s="28">
        <f t="shared" si="1"/>
        <v>40352.872159999984</v>
      </c>
      <c r="I16" s="28">
        <f t="shared" si="1"/>
        <v>38315.052115920014</v>
      </c>
      <c r="J16" s="28">
        <f t="shared" si="1"/>
        <v>20120.860650405244</v>
      </c>
      <c r="K16" s="28">
        <f t="shared" si="1"/>
        <v>3666.1834033171763</v>
      </c>
      <c r="L16" s="28">
        <f t="shared" si="1"/>
        <v>3480.307904768968</v>
      </c>
      <c r="M16" s="28">
        <f t="shared" si="1"/>
        <v>-10607.117575464697</v>
      </c>
      <c r="N16" s="28">
        <f t="shared" si="1"/>
        <v>-23272.572399524346</v>
      </c>
      <c r="O16" s="28">
        <f t="shared" si="1"/>
        <v>-34620.196174679935</v>
      </c>
      <c r="P16" s="28">
        <f t="shared" si="1"/>
        <v>30698.088248772867</v>
      </c>
      <c r="Q16" s="28">
        <f t="shared" si="1"/>
        <v>18749.394711998539</v>
      </c>
      <c r="R16" s="28">
        <f t="shared" si="1"/>
        <v>12862.568299720646</v>
      </c>
      <c r="S16" s="28">
        <f t="shared" si="1"/>
        <v>7538.58129829666</v>
      </c>
      <c r="T16" s="28">
        <f t="shared" si="1"/>
        <v>-1667.4835385291371</v>
      </c>
      <c r="U16" s="28">
        <f t="shared" si="1"/>
        <v>-5750.4845175203809</v>
      </c>
      <c r="V16" s="28">
        <f t="shared" si="1"/>
        <v>-9394.4756807405065</v>
      </c>
      <c r="W16" s="28">
        <f t="shared" si="1"/>
        <v>-16371.546118573126</v>
      </c>
      <c r="X16" s="28">
        <f t="shared" si="1"/>
        <v>-22569.450928104801</v>
      </c>
      <c r="Y16" s="29">
        <f t="shared" si="1"/>
        <v>-21350.136341713936</v>
      </c>
      <c r="Z16" s="23"/>
      <c r="AB16" s="9"/>
    </row>
    <row r="18" spans="2:28" ht="14.95" x14ac:dyDescent="0.25">
      <c r="C18" s="3" t="s">
        <v>38</v>
      </c>
      <c r="F18" s="1"/>
      <c r="G18" s="1"/>
      <c r="H18" s="1"/>
      <c r="I18" s="1"/>
      <c r="J18" s="1"/>
      <c r="K18" s="1"/>
      <c r="L18" s="1"/>
      <c r="M18" s="1"/>
      <c r="N18" s="1"/>
      <c r="O18" s="1"/>
      <c r="P18" s="1"/>
      <c r="Q18" s="1"/>
      <c r="R18" s="1"/>
      <c r="S18" s="1"/>
      <c r="T18" s="1"/>
      <c r="U18" s="1"/>
      <c r="V18" s="1"/>
      <c r="W18" s="1"/>
      <c r="X18" s="1"/>
      <c r="Y18" s="1"/>
      <c r="AB18" s="7" t="s">
        <v>47</v>
      </c>
    </row>
    <row r="19" spans="2:28" ht="14.95" x14ac:dyDescent="0.25">
      <c r="B19" s="2" t="s">
        <v>22</v>
      </c>
      <c r="C19" s="30" t="s">
        <v>0</v>
      </c>
      <c r="D19" s="20"/>
      <c r="E19" s="20"/>
      <c r="F19" s="20">
        <f t="shared" ref="F19:Y25" si="2">F8</f>
        <v>205000</v>
      </c>
      <c r="G19" s="20">
        <f t="shared" si="2"/>
        <v>194668</v>
      </c>
      <c r="H19" s="20">
        <f t="shared" si="2"/>
        <v>184856.7328</v>
      </c>
      <c r="I19" s="20">
        <f t="shared" si="2"/>
        <v>175521.46779360002</v>
      </c>
      <c r="J19" s="20">
        <f t="shared" si="2"/>
        <v>166657.63367002321</v>
      </c>
      <c r="K19" s="20">
        <f t="shared" si="2"/>
        <v>158224.75740632004</v>
      </c>
      <c r="L19" s="20">
        <f t="shared" si="2"/>
        <v>150202.76220581963</v>
      </c>
      <c r="M19" s="20">
        <f t="shared" si="2"/>
        <v>142587.48216198458</v>
      </c>
      <c r="N19" s="20">
        <f t="shared" si="2"/>
        <v>135344.03806815576</v>
      </c>
      <c r="O19" s="20">
        <f t="shared" si="2"/>
        <v>128455.02653048662</v>
      </c>
      <c r="P19" s="20">
        <f t="shared" si="2"/>
        <v>103757.19789292989</v>
      </c>
      <c r="Q19" s="20">
        <f t="shared" si="2"/>
        <v>98369.605392339523</v>
      </c>
      <c r="R19" s="20">
        <f t="shared" si="2"/>
        <v>93227.334270454972</v>
      </c>
      <c r="S19" s="20">
        <f t="shared" si="2"/>
        <v>88337.560587969609</v>
      </c>
      <c r="T19" s="20">
        <f t="shared" si="2"/>
        <v>83688.79646202772</v>
      </c>
      <c r="U19" s="20">
        <f t="shared" si="2"/>
        <v>79255.382469451797</v>
      </c>
      <c r="V19" s="20">
        <f t="shared" si="2"/>
        <v>75042.958891200426</v>
      </c>
      <c r="W19" s="20">
        <f t="shared" si="2"/>
        <v>71041.293108327169</v>
      </c>
      <c r="X19" s="20">
        <f t="shared" si="2"/>
        <v>67228.151700737697</v>
      </c>
      <c r="Y19" s="21">
        <f t="shared" si="2"/>
        <v>63596.150805105346</v>
      </c>
      <c r="Z19" s="23"/>
      <c r="AB19" s="2">
        <f>NPV(0.04,G19:Z19)+F19</f>
        <v>1885365.7834938848</v>
      </c>
    </row>
    <row r="20" spans="2:28" ht="14.95" x14ac:dyDescent="0.25">
      <c r="B20" s="2" t="s">
        <v>22</v>
      </c>
      <c r="C20" s="31" t="s">
        <v>18</v>
      </c>
      <c r="D20" s="23"/>
      <c r="E20" s="23"/>
      <c r="F20" s="23">
        <f t="shared" si="2"/>
        <v>-164000</v>
      </c>
      <c r="G20" s="23">
        <f t="shared" si="2"/>
        <v>0</v>
      </c>
      <c r="H20" s="23">
        <f t="shared" si="2"/>
        <v>0</v>
      </c>
      <c r="I20" s="23">
        <f t="shared" si="2"/>
        <v>0</v>
      </c>
      <c r="J20" s="23">
        <f t="shared" si="2"/>
        <v>0</v>
      </c>
      <c r="K20" s="23">
        <f t="shared" si="2"/>
        <v>0</v>
      </c>
      <c r="L20" s="23">
        <f t="shared" si="2"/>
        <v>0</v>
      </c>
      <c r="M20" s="23">
        <f t="shared" si="2"/>
        <v>0</v>
      </c>
      <c r="N20" s="23">
        <f t="shared" si="2"/>
        <v>0</v>
      </c>
      <c r="O20" s="23">
        <f t="shared" si="2"/>
        <v>0</v>
      </c>
      <c r="P20" s="23">
        <f t="shared" si="2"/>
        <v>0</v>
      </c>
      <c r="Q20" s="23">
        <f t="shared" si="2"/>
        <v>0</v>
      </c>
      <c r="R20" s="23">
        <f t="shared" si="2"/>
        <v>0</v>
      </c>
      <c r="S20" s="23">
        <f t="shared" si="2"/>
        <v>0</v>
      </c>
      <c r="T20" s="23">
        <f t="shared" si="2"/>
        <v>0</v>
      </c>
      <c r="U20" s="23">
        <f t="shared" si="2"/>
        <v>0</v>
      </c>
      <c r="V20" s="23">
        <f t="shared" si="2"/>
        <v>0</v>
      </c>
      <c r="W20" s="23">
        <f t="shared" si="2"/>
        <v>0</v>
      </c>
      <c r="X20" s="23">
        <f t="shared" si="2"/>
        <v>0</v>
      </c>
      <c r="Y20" s="26">
        <f t="shared" si="2"/>
        <v>0</v>
      </c>
      <c r="Z20" s="23"/>
      <c r="AB20" s="2">
        <f t="shared" ref="AB20:AB22" si="3">NPV(0.04,G20:Z20)+F20</f>
        <v>-164000</v>
      </c>
    </row>
    <row r="21" spans="2:28" ht="14.95" x14ac:dyDescent="0.25">
      <c r="B21" s="2" t="s">
        <v>22</v>
      </c>
      <c r="C21" s="31" t="s">
        <v>9</v>
      </c>
      <c r="D21" s="23"/>
      <c r="E21" s="23"/>
      <c r="F21" s="23">
        <f t="shared" si="2"/>
        <v>0</v>
      </c>
      <c r="G21" s="23">
        <f t="shared" si="2"/>
        <v>-9733.4</v>
      </c>
      <c r="H21" s="23">
        <f t="shared" si="2"/>
        <v>-9242.8366399999995</v>
      </c>
      <c r="I21" s="23">
        <f t="shared" si="2"/>
        <v>-8776.0733896800011</v>
      </c>
      <c r="J21" s="23">
        <f t="shared" si="2"/>
        <v>-8332.8816835011603</v>
      </c>
      <c r="K21" s="23">
        <f t="shared" si="2"/>
        <v>-7911.237870316003</v>
      </c>
      <c r="L21" s="23">
        <f t="shared" si="2"/>
        <v>-7510.1381102909818</v>
      </c>
      <c r="M21" s="23">
        <f t="shared" si="2"/>
        <v>-7129.3741080992295</v>
      </c>
      <c r="N21" s="23">
        <f t="shared" si="2"/>
        <v>-6767.2019034077884</v>
      </c>
      <c r="O21" s="23">
        <f t="shared" si="2"/>
        <v>-6422.7513265243315</v>
      </c>
      <c r="P21" s="23">
        <f t="shared" si="2"/>
        <v>-5187.8598946464954</v>
      </c>
      <c r="Q21" s="23">
        <f t="shared" si="2"/>
        <v>-4918.4802696169763</v>
      </c>
      <c r="R21" s="23">
        <f t="shared" si="2"/>
        <v>-4661.3667135227488</v>
      </c>
      <c r="S21" s="23">
        <f t="shared" si="2"/>
        <v>-4416.878029398481</v>
      </c>
      <c r="T21" s="23">
        <f t="shared" si="2"/>
        <v>-4184.4398231013865</v>
      </c>
      <c r="U21" s="23">
        <f t="shared" si="2"/>
        <v>-3962.7691234725899</v>
      </c>
      <c r="V21" s="23">
        <f t="shared" si="2"/>
        <v>-3752.1479445600216</v>
      </c>
      <c r="W21" s="23">
        <f t="shared" si="2"/>
        <v>-3552.0646554163586</v>
      </c>
      <c r="X21" s="23">
        <f t="shared" si="2"/>
        <v>-3361.4075850368849</v>
      </c>
      <c r="Y21" s="26">
        <f t="shared" si="2"/>
        <v>-3179.8075402552677</v>
      </c>
      <c r="Z21" s="23"/>
      <c r="AB21" s="2">
        <f t="shared" si="3"/>
        <v>-84018.289174694233</v>
      </c>
    </row>
    <row r="22" spans="2:28" ht="14.95" x14ac:dyDescent="0.25">
      <c r="B22" s="2" t="s">
        <v>22</v>
      </c>
      <c r="C22" s="31" t="s">
        <v>19</v>
      </c>
      <c r="D22" s="23"/>
      <c r="E22" s="23"/>
      <c r="F22" s="23">
        <f t="shared" si="2"/>
        <v>-40000</v>
      </c>
      <c r="G22" s="23">
        <f t="shared" si="2"/>
        <v>0</v>
      </c>
      <c r="H22" s="23">
        <f t="shared" si="2"/>
        <v>0</v>
      </c>
      <c r="I22" s="23">
        <f t="shared" si="2"/>
        <v>0</v>
      </c>
      <c r="J22" s="23">
        <f t="shared" si="2"/>
        <v>0</v>
      </c>
      <c r="K22" s="23">
        <f t="shared" si="2"/>
        <v>0</v>
      </c>
      <c r="L22" s="23">
        <f t="shared" si="2"/>
        <v>0</v>
      </c>
      <c r="M22" s="23">
        <f t="shared" si="2"/>
        <v>0</v>
      </c>
      <c r="N22" s="23">
        <f t="shared" si="2"/>
        <v>0</v>
      </c>
      <c r="O22" s="23">
        <f t="shared" si="2"/>
        <v>0</v>
      </c>
      <c r="P22" s="23">
        <f t="shared" si="2"/>
        <v>0</v>
      </c>
      <c r="Q22" s="23">
        <f t="shared" si="2"/>
        <v>0</v>
      </c>
      <c r="R22" s="23">
        <f t="shared" si="2"/>
        <v>0</v>
      </c>
      <c r="S22" s="23">
        <f t="shared" si="2"/>
        <v>0</v>
      </c>
      <c r="T22" s="23">
        <f t="shared" si="2"/>
        <v>0</v>
      </c>
      <c r="U22" s="23">
        <f t="shared" si="2"/>
        <v>0</v>
      </c>
      <c r="V22" s="23">
        <f t="shared" si="2"/>
        <v>0</v>
      </c>
      <c r="W22" s="23">
        <f t="shared" si="2"/>
        <v>0</v>
      </c>
      <c r="X22" s="23">
        <f t="shared" si="2"/>
        <v>0</v>
      </c>
      <c r="Y22" s="26">
        <f t="shared" si="2"/>
        <v>0</v>
      </c>
      <c r="Z22" s="23"/>
      <c r="AB22" s="2">
        <f t="shared" si="3"/>
        <v>-40000</v>
      </c>
    </row>
    <row r="23" spans="2:28" ht="14.95" x14ac:dyDescent="0.25">
      <c r="B23" s="2" t="s">
        <v>23</v>
      </c>
      <c r="C23" s="31" t="s">
        <v>66</v>
      </c>
      <c r="D23" s="23"/>
      <c r="E23" s="23"/>
      <c r="F23" s="23">
        <f t="shared" si="2"/>
        <v>-30000</v>
      </c>
      <c r="G23" s="23">
        <f t="shared" si="2"/>
        <v>-28488</v>
      </c>
      <c r="H23" s="41">
        <f>-H36*Assumptions!F32</f>
        <v>-31560.905600000002</v>
      </c>
      <c r="I23" s="41">
        <f>-I36*Assumptions!G32</f>
        <v>-29967.079867200006</v>
      </c>
      <c r="J23" s="41">
        <f>-J36*Assumptions!H32</f>
        <v>-28453.742333906404</v>
      </c>
      <c r="K23" s="41">
        <f>-K36*Assumptions!I32</f>
        <v>-27013.982971810739</v>
      </c>
      <c r="L23" s="41">
        <f>-L36*Assumptions!J32</f>
        <v>-25644.374035139936</v>
      </c>
      <c r="M23" s="41">
        <f>-M36*Assumptions!K32</f>
        <v>-24344.204271558341</v>
      </c>
      <c r="N23" s="41">
        <f>-N36*Assumptions!L32</f>
        <v>-23107.518694563176</v>
      </c>
      <c r="O23" s="41">
        <f>-O36*Assumptions!M32</f>
        <v>-21931.345993009909</v>
      </c>
      <c r="P23" s="41">
        <f>-P36*Assumptions!N32</f>
        <v>-5460.9051522594673</v>
      </c>
      <c r="Q23" s="41">
        <f>-Q36*Assumptions!O32</f>
        <v>-5177.3476522283954</v>
      </c>
      <c r="R23" s="41">
        <f>-R36*Assumptions!P32</f>
        <v>-4906.7018037081571</v>
      </c>
      <c r="S23" s="41">
        <f>-S36*Assumptions!Q32</f>
        <v>-4649.3452941036639</v>
      </c>
      <c r="T23" s="41">
        <f>-T36*Assumptions!R32</f>
        <v>-4404.6734980014589</v>
      </c>
      <c r="U23" s="41">
        <f>-U36*Assumptions!S32</f>
        <v>-4171.3359194448312</v>
      </c>
      <c r="V23" s="41">
        <f>-V36*Assumptions!T32</f>
        <v>-3949.6294153263384</v>
      </c>
      <c r="W23" s="41">
        <f>-W36*Assumptions!U32</f>
        <v>-3739.0154267540615</v>
      </c>
      <c r="X23" s="41">
        <f>-X36*Assumptions!V32</f>
        <v>-3538.323773723037</v>
      </c>
      <c r="Y23" s="45">
        <f>-Y36*Assumptions!W32</f>
        <v>-3347.1658318476498</v>
      </c>
      <c r="Z23" s="23"/>
      <c r="AB23" s="2">
        <f>NPV(0.04,F23:Z23)</f>
        <v>-246087.6307386054</v>
      </c>
    </row>
    <row r="24" spans="2:28" ht="14.95" x14ac:dyDescent="0.25">
      <c r="B24" s="2" t="s">
        <v>22</v>
      </c>
      <c r="C24" s="31" t="s">
        <v>20</v>
      </c>
      <c r="D24" s="23"/>
      <c r="E24" s="23"/>
      <c r="F24" s="23">
        <f t="shared" si="2"/>
        <v>-60000</v>
      </c>
      <c r="G24" s="23">
        <f t="shared" si="2"/>
        <v>0</v>
      </c>
      <c r="H24" s="23">
        <f t="shared" si="2"/>
        <v>0</v>
      </c>
      <c r="I24" s="23">
        <f t="shared" si="2"/>
        <v>0</v>
      </c>
      <c r="J24" s="23">
        <f t="shared" si="2"/>
        <v>0</v>
      </c>
      <c r="K24" s="23">
        <f t="shared" si="2"/>
        <v>0</v>
      </c>
      <c r="L24" s="23">
        <f t="shared" si="2"/>
        <v>0</v>
      </c>
      <c r="M24" s="23">
        <f t="shared" si="2"/>
        <v>0</v>
      </c>
      <c r="N24" s="23">
        <f t="shared" si="2"/>
        <v>0</v>
      </c>
      <c r="O24" s="23">
        <f t="shared" si="2"/>
        <v>0</v>
      </c>
      <c r="P24" s="23">
        <f t="shared" si="2"/>
        <v>0</v>
      </c>
      <c r="Q24" s="23">
        <f t="shared" si="2"/>
        <v>0</v>
      </c>
      <c r="R24" s="23">
        <f t="shared" si="2"/>
        <v>0</v>
      </c>
      <c r="S24" s="23">
        <f t="shared" si="2"/>
        <v>0</v>
      </c>
      <c r="T24" s="23">
        <f t="shared" si="2"/>
        <v>0</v>
      </c>
      <c r="U24" s="23">
        <f t="shared" si="2"/>
        <v>0</v>
      </c>
      <c r="V24" s="23">
        <f t="shared" si="2"/>
        <v>0</v>
      </c>
      <c r="W24" s="23">
        <f t="shared" si="2"/>
        <v>0</v>
      </c>
      <c r="X24" s="23">
        <f t="shared" si="2"/>
        <v>0</v>
      </c>
      <c r="Y24" s="26">
        <f t="shared" si="2"/>
        <v>0</v>
      </c>
      <c r="Z24" s="23"/>
      <c r="AB24" s="2">
        <f>NPV(0.04,G24:Z24)+F24</f>
        <v>-60000</v>
      </c>
    </row>
    <row r="25" spans="2:28" ht="14.95" x14ac:dyDescent="0.25">
      <c r="B25" s="2" t="s">
        <v>23</v>
      </c>
      <c r="C25" s="31" t="s">
        <v>67</v>
      </c>
      <c r="D25" s="23"/>
      <c r="E25" s="23"/>
      <c r="F25" s="23">
        <f>F14</f>
        <v>-20000</v>
      </c>
      <c r="G25" s="23">
        <f t="shared" si="2"/>
        <v>-18992</v>
      </c>
      <c r="H25" s="23">
        <f t="shared" si="2"/>
        <v>-18034.803200000002</v>
      </c>
      <c r="I25" s="23">
        <f t="shared" si="2"/>
        <v>-17124.045638400003</v>
      </c>
      <c r="J25" s="23">
        <f t="shared" si="2"/>
        <v>-16259.281333660801</v>
      </c>
      <c r="K25" s="23">
        <f t="shared" si="2"/>
        <v>-15436.561698177566</v>
      </c>
      <c r="L25" s="23">
        <f t="shared" si="2"/>
        <v>-14653.928020079964</v>
      </c>
      <c r="M25" s="23">
        <f t="shared" si="2"/>
        <v>-13910.973869461908</v>
      </c>
      <c r="N25" s="23">
        <f t="shared" si="2"/>
        <v>-13204.296396893244</v>
      </c>
      <c r="O25" s="23">
        <f t="shared" si="2"/>
        <v>-12532.197710291377</v>
      </c>
      <c r="P25" s="23">
        <f t="shared" si="2"/>
        <v>-3120.517229862553</v>
      </c>
      <c r="Q25" s="23">
        <f t="shared" si="2"/>
        <v>-2958.4843727019406</v>
      </c>
      <c r="R25" s="23">
        <f t="shared" si="2"/>
        <v>-2803.8296021189467</v>
      </c>
      <c r="S25" s="23">
        <f t="shared" si="2"/>
        <v>-2656.7687394878076</v>
      </c>
      <c r="T25" s="23">
        <f t="shared" si="2"/>
        <v>-2516.9562845722621</v>
      </c>
      <c r="U25" s="23">
        <f t="shared" si="2"/>
        <v>-2383.6205253970465</v>
      </c>
      <c r="V25" s="23">
        <f t="shared" si="2"/>
        <v>-2256.9310944721933</v>
      </c>
      <c r="W25" s="23">
        <f t="shared" si="2"/>
        <v>-2136.5802438594637</v>
      </c>
      <c r="X25" s="23">
        <f t="shared" si="2"/>
        <v>-2021.8992992703068</v>
      </c>
      <c r="Y25" s="26">
        <f t="shared" si="2"/>
        <v>-1912.6661896272285</v>
      </c>
      <c r="Z25" s="23"/>
      <c r="AB25" s="2">
        <f>NPV(0.04,F25:Z25)</f>
        <v>-145877.20911183197</v>
      </c>
    </row>
    <row r="26" spans="2:28" ht="14.95" x14ac:dyDescent="0.25">
      <c r="B26" s="2" t="s">
        <v>23</v>
      </c>
      <c r="C26" s="31" t="s">
        <v>1</v>
      </c>
      <c r="D26" s="23"/>
      <c r="E26" s="23"/>
      <c r="F26" s="23">
        <f t="shared" ref="F26:Y26" si="4">F15</f>
        <v>-80000</v>
      </c>
      <c r="G26" s="23">
        <f t="shared" si="4"/>
        <v>-75968</v>
      </c>
      <c r="H26" s="23">
        <f t="shared" si="4"/>
        <v>-90174.016000000018</v>
      </c>
      <c r="I26" s="23">
        <f t="shared" si="4"/>
        <v>-85620.22819200001</v>
      </c>
      <c r="J26" s="23">
        <f t="shared" si="4"/>
        <v>-97555.688001964809</v>
      </c>
      <c r="K26" s="23">
        <f t="shared" si="4"/>
        <v>-108055.93188724296</v>
      </c>
      <c r="L26" s="23">
        <f t="shared" si="4"/>
        <v>-102577.49614055976</v>
      </c>
      <c r="M26" s="23">
        <f t="shared" si="4"/>
        <v>-111287.79095569528</v>
      </c>
      <c r="N26" s="23">
        <f t="shared" si="4"/>
        <v>-118838.66757203921</v>
      </c>
      <c r="O26" s="23">
        <f t="shared" si="4"/>
        <v>-125321.97710291378</v>
      </c>
      <c r="P26" s="23">
        <f t="shared" si="4"/>
        <v>-60069.956674854155</v>
      </c>
      <c r="Q26" s="23">
        <f t="shared" si="4"/>
        <v>-67305.519478969145</v>
      </c>
      <c r="R26" s="23">
        <f t="shared" si="4"/>
        <v>-68693.825251914212</v>
      </c>
      <c r="S26" s="23">
        <f t="shared" si="4"/>
        <v>-69740.179411554956</v>
      </c>
      <c r="T26" s="23">
        <f t="shared" si="4"/>
        <v>-74879.449466024802</v>
      </c>
      <c r="U26" s="23">
        <f t="shared" si="4"/>
        <v>-75084.046550006969</v>
      </c>
      <c r="V26" s="23">
        <f t="shared" si="4"/>
        <v>-75042.958891200426</v>
      </c>
      <c r="W26" s="23">
        <f t="shared" si="4"/>
        <v>-78519.323961835282</v>
      </c>
      <c r="X26" s="23">
        <f t="shared" si="4"/>
        <v>-81381.446795629847</v>
      </c>
      <c r="Y26" s="26">
        <f t="shared" si="4"/>
        <v>-76984.814132495943</v>
      </c>
      <c r="Z26" s="23"/>
      <c r="AB26" s="2">
        <f>NPV(0.04,F26:Z26)</f>
        <v>-1188819.6824108735</v>
      </c>
    </row>
    <row r="27" spans="2:28" ht="14.95" x14ac:dyDescent="0.25">
      <c r="C27" s="32" t="s">
        <v>21</v>
      </c>
      <c r="D27" s="28"/>
      <c r="E27" s="28"/>
      <c r="F27" s="28">
        <f t="shared" ref="F27:Y27" si="5">SUM(F19:F26)</f>
        <v>-189000</v>
      </c>
      <c r="G27" s="28">
        <f t="shared" si="5"/>
        <v>61486.600000000006</v>
      </c>
      <c r="H27" s="46">
        <f t="shared" si="5"/>
        <v>35844.171359999993</v>
      </c>
      <c r="I27" s="46">
        <f t="shared" si="5"/>
        <v>34034.040706320011</v>
      </c>
      <c r="J27" s="46">
        <f t="shared" si="5"/>
        <v>16056.040316990038</v>
      </c>
      <c r="K27" s="46">
        <f t="shared" si="5"/>
        <v>-192.95702122720832</v>
      </c>
      <c r="L27" s="46">
        <f t="shared" si="5"/>
        <v>-183.1741002510098</v>
      </c>
      <c r="M27" s="46">
        <f t="shared" si="5"/>
        <v>-14084.861042830176</v>
      </c>
      <c r="N27" s="46">
        <f t="shared" si="5"/>
        <v>-26573.64649874765</v>
      </c>
      <c r="O27" s="46">
        <f t="shared" si="5"/>
        <v>-37753.245602252777</v>
      </c>
      <c r="P27" s="46">
        <f t="shared" si="5"/>
        <v>29917.958941307224</v>
      </c>
      <c r="Q27" s="46">
        <f t="shared" si="5"/>
        <v>18009.773618823063</v>
      </c>
      <c r="R27" s="46">
        <f t="shared" si="5"/>
        <v>12161.610899190913</v>
      </c>
      <c r="S27" s="46">
        <f t="shared" si="5"/>
        <v>6874.3891134247096</v>
      </c>
      <c r="T27" s="46">
        <f t="shared" si="5"/>
        <v>-2296.7226096722006</v>
      </c>
      <c r="U27" s="46">
        <f t="shared" si="5"/>
        <v>-6346.3896488696337</v>
      </c>
      <c r="V27" s="46">
        <f t="shared" si="5"/>
        <v>-9958.7084543585661</v>
      </c>
      <c r="W27" s="46">
        <f t="shared" si="5"/>
        <v>-16905.691179537993</v>
      </c>
      <c r="X27" s="46">
        <f t="shared" si="5"/>
        <v>-23074.925752922376</v>
      </c>
      <c r="Y27" s="47">
        <f t="shared" si="5"/>
        <v>-21828.302889120743</v>
      </c>
      <c r="Z27" s="23"/>
      <c r="AB27" s="3">
        <f>SUM(AB19:AB26)</f>
        <v>-43437.027942120563</v>
      </c>
    </row>
    <row r="29" spans="2:28" ht="14.95" x14ac:dyDescent="0.25">
      <c r="C29" s="3" t="s">
        <v>43</v>
      </c>
    </row>
    <row r="30" spans="2:28" ht="14.95"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ht="14.95"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ht="14.95" x14ac:dyDescent="0.25">
      <c r="B32" s="17"/>
      <c r="C32" s="52" t="s">
        <v>45</v>
      </c>
      <c r="D32" s="23"/>
      <c r="E32" s="23"/>
      <c r="F32" s="23"/>
      <c r="G32" s="23"/>
      <c r="H32" s="23"/>
      <c r="I32" s="23"/>
      <c r="J32" s="23"/>
      <c r="K32" s="23"/>
      <c r="L32" s="23"/>
      <c r="M32" s="23"/>
      <c r="N32" s="23"/>
      <c r="O32" s="23"/>
      <c r="P32" s="23"/>
      <c r="Q32" s="23"/>
      <c r="R32" s="23"/>
      <c r="S32" s="23"/>
      <c r="T32" s="23"/>
      <c r="U32" s="23"/>
      <c r="V32" s="23"/>
      <c r="W32" s="23"/>
      <c r="X32" s="23"/>
      <c r="Y32" s="23"/>
    </row>
    <row r="33" spans="2:26" ht="14.95" x14ac:dyDescent="0.25">
      <c r="B33" s="17" t="s">
        <v>23</v>
      </c>
      <c r="C33" s="33" t="s">
        <v>1</v>
      </c>
      <c r="D33" s="34"/>
      <c r="E33" s="34"/>
      <c r="F33" s="34">
        <f>F30</f>
        <v>-8000</v>
      </c>
      <c r="G33" s="34">
        <f t="shared" ref="G33:Y33" si="6">G30</f>
        <v>-7596.8</v>
      </c>
      <c r="H33" s="34">
        <f t="shared" si="6"/>
        <v>-9017.4016000000029</v>
      </c>
      <c r="I33" s="34">
        <f t="shared" si="6"/>
        <v>-8562.0228192000013</v>
      </c>
      <c r="J33" s="34">
        <f t="shared" si="6"/>
        <v>-9755.5688001964809</v>
      </c>
      <c r="K33" s="34">
        <f t="shared" si="6"/>
        <v>-10805.593188724297</v>
      </c>
      <c r="L33" s="34">
        <f t="shared" si="6"/>
        <v>-10257.749614055976</v>
      </c>
      <c r="M33" s="34">
        <f t="shared" si="6"/>
        <v>-11128.779095569529</v>
      </c>
      <c r="N33" s="34">
        <f t="shared" si="6"/>
        <v>-11883.866757203921</v>
      </c>
      <c r="O33" s="34">
        <f t="shared" si="6"/>
        <v>-12532.197710291379</v>
      </c>
      <c r="P33" s="34">
        <f t="shared" si="6"/>
        <v>-6006.9956674854157</v>
      </c>
      <c r="Q33" s="34">
        <f t="shared" si="6"/>
        <v>-6730.5519478969145</v>
      </c>
      <c r="R33" s="34">
        <f t="shared" si="6"/>
        <v>-6869.3825251914213</v>
      </c>
      <c r="S33" s="34">
        <f t="shared" si="6"/>
        <v>-6974.0179411554964</v>
      </c>
      <c r="T33" s="34">
        <f t="shared" si="6"/>
        <v>-7487.9449466024807</v>
      </c>
      <c r="U33" s="34">
        <f t="shared" si="6"/>
        <v>-7508.4046550006969</v>
      </c>
      <c r="V33" s="34">
        <f t="shared" si="6"/>
        <v>-7504.2958891200433</v>
      </c>
      <c r="W33" s="34">
        <f t="shared" si="6"/>
        <v>-7851.9323961835289</v>
      </c>
      <c r="X33" s="34">
        <f t="shared" si="6"/>
        <v>-8138.1446795629854</v>
      </c>
      <c r="Y33" s="35">
        <f t="shared" si="6"/>
        <v>-7698.4814132495949</v>
      </c>
      <c r="Z33" s="23"/>
    </row>
    <row r="34" spans="2:26" ht="14.95" x14ac:dyDescent="0.25">
      <c r="C34" s="6"/>
    </row>
    <row r="35" spans="2:26" ht="14.95" x14ac:dyDescent="0.25">
      <c r="C35" s="3" t="s">
        <v>16</v>
      </c>
    </row>
    <row r="36" spans="2:26" ht="14.95" x14ac:dyDescent="0.25">
      <c r="C36" s="19" t="s">
        <v>74</v>
      </c>
      <c r="D36" s="20"/>
      <c r="E36" s="20"/>
      <c r="F36" s="20">
        <f>Assumptions!D7</f>
        <v>1000</v>
      </c>
      <c r="G36" s="20">
        <f>F39</f>
        <v>949.6</v>
      </c>
      <c r="H36" s="20">
        <f t="shared" ref="H36:Y36" si="7">G39</f>
        <v>901.74016000000006</v>
      </c>
      <c r="I36" s="20">
        <f t="shared" si="7"/>
        <v>856.20228192000013</v>
      </c>
      <c r="J36" s="20">
        <f t="shared" si="7"/>
        <v>812.96406668304007</v>
      </c>
      <c r="K36" s="20">
        <f t="shared" si="7"/>
        <v>771.82808490887828</v>
      </c>
      <c r="L36" s="20">
        <f t="shared" si="7"/>
        <v>732.69640100399818</v>
      </c>
      <c r="M36" s="20">
        <f t="shared" si="7"/>
        <v>695.54869347309545</v>
      </c>
      <c r="N36" s="20">
        <f t="shared" si="7"/>
        <v>660.2148198446622</v>
      </c>
      <c r="O36" s="20">
        <f t="shared" si="7"/>
        <v>626.60988551456887</v>
      </c>
      <c r="P36" s="20">
        <f t="shared" si="7"/>
        <v>156.02586149312765</v>
      </c>
      <c r="Q36" s="20">
        <f t="shared" si="7"/>
        <v>147.92421863509702</v>
      </c>
      <c r="R36" s="20">
        <f t="shared" si="7"/>
        <v>140.19148010594733</v>
      </c>
      <c r="S36" s="20">
        <f t="shared" si="7"/>
        <v>132.83843697439039</v>
      </c>
      <c r="T36" s="20">
        <f t="shared" si="7"/>
        <v>125.8478142286131</v>
      </c>
      <c r="U36" s="20">
        <f t="shared" si="7"/>
        <v>119.18102626985232</v>
      </c>
      <c r="V36" s="20">
        <f t="shared" si="7"/>
        <v>112.84655472360967</v>
      </c>
      <c r="W36" s="20">
        <f t="shared" si="7"/>
        <v>106.82901219297318</v>
      </c>
      <c r="X36" s="20">
        <f t="shared" si="7"/>
        <v>101.09496496351534</v>
      </c>
      <c r="Y36" s="21">
        <f t="shared" si="7"/>
        <v>95.633309481361422</v>
      </c>
      <c r="Z36" s="23"/>
    </row>
    <row r="37" spans="2:26" ht="14.95"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24">
        <f>O36*Assumptions!M22</f>
        <v>0.62660988551456887</v>
      </c>
      <c r="P37" s="24">
        <f>P36*Assumptions!N22</f>
        <v>0.30034978337427076</v>
      </c>
      <c r="Q37" s="24">
        <f>Q36*Assumptions!O22</f>
        <v>0.33652759739484572</v>
      </c>
      <c r="R37" s="24">
        <f>R36*Assumptions!P22</f>
        <v>0.34346912625957104</v>
      </c>
      <c r="S37" s="24">
        <f>S36*Assumptions!Q22</f>
        <v>0.34870089705777479</v>
      </c>
      <c r="T37" s="24">
        <f>T36*Assumptions!R22</f>
        <v>0.37439724733012403</v>
      </c>
      <c r="U37" s="24">
        <f>U36*Assumptions!S22</f>
        <v>0.37542023275003483</v>
      </c>
      <c r="V37" s="24">
        <f>V36*Assumptions!T22</f>
        <v>0.37521479445600214</v>
      </c>
      <c r="W37" s="24">
        <f>W36*Assumptions!U22</f>
        <v>0.39259661980917643</v>
      </c>
      <c r="X37" s="24">
        <f>X36*Assumptions!V22</f>
        <v>0.40690723397814921</v>
      </c>
      <c r="Y37" s="25">
        <f>Y36*Assumptions!W22</f>
        <v>0.38492407066247974</v>
      </c>
      <c r="Z37" s="24"/>
    </row>
    <row r="38" spans="2:26" ht="14.95"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23">
        <f>N36*Assumptions!L21</f>
        <v>33.01074099223311</v>
      </c>
      <c r="O38" s="23">
        <f>O36*Assumptions!M21</f>
        <v>469.95741413592668</v>
      </c>
      <c r="P38" s="23">
        <f>P36*Assumptions!N21</f>
        <v>7.8012930746563827</v>
      </c>
      <c r="Q38" s="23">
        <f>Q36*Assumptions!O21</f>
        <v>7.396210931754851</v>
      </c>
      <c r="R38" s="23">
        <f>R36*Assumptions!P21</f>
        <v>7.0095740052973667</v>
      </c>
      <c r="S38" s="23">
        <f>S36*Assumptions!Q21</f>
        <v>6.6419218487195195</v>
      </c>
      <c r="T38" s="23">
        <f>T36*Assumptions!R21</f>
        <v>6.2923907114306559</v>
      </c>
      <c r="U38" s="23">
        <f>U36*Assumptions!S21</f>
        <v>5.9590513134926164</v>
      </c>
      <c r="V38" s="23">
        <f>V36*Assumptions!T21</f>
        <v>5.6423277361804836</v>
      </c>
      <c r="W38" s="23">
        <f>W36*Assumptions!U21</f>
        <v>5.3414506096486596</v>
      </c>
      <c r="X38" s="23">
        <f>X36*Assumptions!V21</f>
        <v>5.0547482481757671</v>
      </c>
      <c r="Y38" s="26">
        <f>Y36*Assumptions!W21</f>
        <v>95.633309481361422</v>
      </c>
      <c r="Z38" s="23"/>
    </row>
    <row r="39" spans="2:26" ht="14.95" x14ac:dyDescent="0.25">
      <c r="C39" s="27" t="s">
        <v>75</v>
      </c>
      <c r="D39" s="28"/>
      <c r="E39" s="28"/>
      <c r="F39" s="28">
        <f>F36-F37-F38</f>
        <v>949.6</v>
      </c>
      <c r="G39" s="28">
        <f t="shared" ref="G39:Y39" si="8">G36-G37-G38</f>
        <v>901.74016000000006</v>
      </c>
      <c r="H39" s="28">
        <f t="shared" si="8"/>
        <v>856.20228192000013</v>
      </c>
      <c r="I39" s="28">
        <f t="shared" si="8"/>
        <v>812.96406668304007</v>
      </c>
      <c r="J39" s="28">
        <f t="shared" si="8"/>
        <v>771.82808490887828</v>
      </c>
      <c r="K39" s="28">
        <f t="shared" si="8"/>
        <v>732.69640100399818</v>
      </c>
      <c r="L39" s="28">
        <f t="shared" si="8"/>
        <v>695.54869347309545</v>
      </c>
      <c r="M39" s="28">
        <f t="shared" si="8"/>
        <v>660.2148198446622</v>
      </c>
      <c r="N39" s="28">
        <f t="shared" si="8"/>
        <v>626.60988551456887</v>
      </c>
      <c r="O39" s="28">
        <f t="shared" si="8"/>
        <v>156.02586149312765</v>
      </c>
      <c r="P39" s="28">
        <f t="shared" si="8"/>
        <v>147.92421863509702</v>
      </c>
      <c r="Q39" s="28">
        <f t="shared" si="8"/>
        <v>140.19148010594733</v>
      </c>
      <c r="R39" s="28">
        <f t="shared" si="8"/>
        <v>132.83843697439039</v>
      </c>
      <c r="S39" s="28">
        <f t="shared" si="8"/>
        <v>125.8478142286131</v>
      </c>
      <c r="T39" s="28">
        <f t="shared" si="8"/>
        <v>119.18102626985232</v>
      </c>
      <c r="U39" s="28">
        <f t="shared" si="8"/>
        <v>112.84655472360967</v>
      </c>
      <c r="V39" s="28">
        <f t="shared" si="8"/>
        <v>106.82901219297318</v>
      </c>
      <c r="W39" s="28">
        <f t="shared" si="8"/>
        <v>101.09496496351534</v>
      </c>
      <c r="X39" s="28">
        <f t="shared" si="8"/>
        <v>95.633309481361422</v>
      </c>
      <c r="Y39" s="29">
        <f t="shared" si="8"/>
        <v>-0.38492407066247836</v>
      </c>
      <c r="Z39" s="23"/>
    </row>
    <row r="40" spans="2:26" ht="14.95" x14ac:dyDescent="0.25">
      <c r="C40" s="6"/>
    </row>
    <row r="41" spans="2:26" ht="14.95" x14ac:dyDescent="0.25">
      <c r="C41" s="3" t="s">
        <v>24</v>
      </c>
    </row>
    <row r="42" spans="2:26" ht="14.95" x14ac:dyDescent="0.25">
      <c r="C42" s="19" t="s">
        <v>33</v>
      </c>
      <c r="D42" s="20"/>
      <c r="E42" s="21">
        <f>F8+NPV(Assumptions!D18,'Expense Shock no Assn Change'!G8:Y8)</f>
        <v>1885365.7834938848</v>
      </c>
    </row>
    <row r="43" spans="2:26" ht="14.95" x14ac:dyDescent="0.25">
      <c r="C43" s="22" t="s">
        <v>34</v>
      </c>
      <c r="D43" s="23"/>
      <c r="E43" s="26">
        <f>F10+NPV(Assumptions!D18,'Expense Shock no Assn Change'!G10:Y10)</f>
        <v>-84018.289174694233</v>
      </c>
    </row>
    <row r="44" spans="2:26" ht="14.95" x14ac:dyDescent="0.25">
      <c r="C44" s="22" t="s">
        <v>68</v>
      </c>
      <c r="D44" s="23"/>
      <c r="E44" s="26">
        <f>NPV(Assumptions!D18,F12:Y12)</f>
        <v>-218815.81366774798</v>
      </c>
    </row>
    <row r="45" spans="2:26" ht="14.95" x14ac:dyDescent="0.25">
      <c r="C45" s="22" t="s">
        <v>35</v>
      </c>
      <c r="D45" s="23"/>
      <c r="E45" s="26">
        <f>NPV(Assumptions!D18,F15:Y15)</f>
        <v>-1188819.6824108735</v>
      </c>
    </row>
    <row r="46" spans="2:26" ht="14.95" x14ac:dyDescent="0.25">
      <c r="C46" s="22" t="s">
        <v>36</v>
      </c>
      <c r="D46" s="23"/>
      <c r="E46" s="26">
        <f>F9+F11</f>
        <v>-204000</v>
      </c>
    </row>
    <row r="47" spans="2:26" ht="14.95" x14ac:dyDescent="0.25">
      <c r="C47" s="22" t="s">
        <v>37</v>
      </c>
      <c r="D47" s="23"/>
      <c r="E47" s="36">
        <f>NPV(Assumptions!D18,F30:Y30)</f>
        <v>-118881.96824108734</v>
      </c>
    </row>
    <row r="48" spans="2:26" ht="14.95" x14ac:dyDescent="0.25">
      <c r="C48" s="22" t="s">
        <v>26</v>
      </c>
      <c r="D48" s="23"/>
      <c r="E48" s="26">
        <f>SUM(E42:E47)</f>
        <v>70830.029999481805</v>
      </c>
    </row>
    <row r="49" spans="3:25" ht="14.95" x14ac:dyDescent="0.25">
      <c r="C49" s="22" t="s">
        <v>25</v>
      </c>
      <c r="D49" s="23"/>
      <c r="E49" s="26">
        <f>MAX(0,E48)</f>
        <v>70830.029999481805</v>
      </c>
    </row>
    <row r="50" spans="3:25" ht="14.95" x14ac:dyDescent="0.25">
      <c r="C50" s="27" t="s">
        <v>24</v>
      </c>
      <c r="D50" s="28"/>
      <c r="E50" s="29">
        <f>-E48+E49</f>
        <v>0</v>
      </c>
    </row>
    <row r="51" spans="3:25" ht="14.95" x14ac:dyDescent="0.25">
      <c r="C51" s="6"/>
    </row>
    <row r="52" spans="3:25" ht="14.95" x14ac:dyDescent="0.25">
      <c r="C52" s="3" t="s">
        <v>73</v>
      </c>
    </row>
    <row r="53" spans="3:25" ht="14.95" x14ac:dyDescent="0.25">
      <c r="C53" s="37" t="s">
        <v>74</v>
      </c>
      <c r="D53" s="20"/>
      <c r="E53" s="20"/>
      <c r="F53" s="20">
        <v>0</v>
      </c>
      <c r="G53" s="20">
        <f>F61</f>
        <v>-306260.47817019193</v>
      </c>
      <c r="H53" s="20">
        <f t="shared" ref="H53:X53" si="9">G61</f>
        <v>-230634.91329699958</v>
      </c>
      <c r="I53" s="20">
        <f t="shared" si="9"/>
        <v>-174448.07862247957</v>
      </c>
      <c r="J53" s="20">
        <f t="shared" si="9"/>
        <v>-119317.08823690194</v>
      </c>
      <c r="K53" s="20">
        <f t="shared" si="9"/>
        <v>-81376.639702851098</v>
      </c>
      <c r="L53" s="20">
        <f t="shared" si="9"/>
        <v>-59516.419408030233</v>
      </c>
      <c r="M53" s="20">
        <f t="shared" si="9"/>
        <v>-38055.13529568135</v>
      </c>
      <c r="N53" s="20">
        <f t="shared" si="9"/>
        <v>-30855.160091355985</v>
      </c>
      <c r="O53" s="20">
        <f t="shared" si="9"/>
        <v>-37014.569051051418</v>
      </c>
      <c r="P53" s="20">
        <f t="shared" si="9"/>
        <v>-55701.859269323562</v>
      </c>
      <c r="Q53" s="20">
        <f t="shared" si="9"/>
        <v>-20168.554641529761</v>
      </c>
      <c r="R53" s="20">
        <f t="shared" si="9"/>
        <v>4470.6272624184394</v>
      </c>
      <c r="S53" s="20">
        <f t="shared" si="9"/>
        <v>23858.488957032052</v>
      </c>
      <c r="T53" s="20">
        <f t="shared" si="9"/>
        <v>38365.005855440642</v>
      </c>
      <c r="U53" s="20">
        <f t="shared" si="9"/>
        <v>43929.253101258451</v>
      </c>
      <c r="V53" s="20">
        <f t="shared" si="9"/>
        <v>45331.263767024633</v>
      </c>
      <c r="W53" s="20">
        <f t="shared" si="9"/>
        <v>42858.602169302925</v>
      </c>
      <c r="X53" s="20">
        <f t="shared" si="9"/>
        <v>33037.549519477812</v>
      </c>
      <c r="Y53" s="21">
        <f>X61</f>
        <v>16366.169636050454</v>
      </c>
    </row>
    <row r="54" spans="3:25" ht="14.9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ht="14.95" x14ac:dyDescent="0.25">
      <c r="C55" s="22" t="s">
        <v>77</v>
      </c>
      <c r="D55" s="23"/>
      <c r="E55" s="23"/>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ht="14.95" x14ac:dyDescent="0.25">
      <c r="C56" s="22" t="s">
        <v>78</v>
      </c>
      <c r="D56" s="23"/>
      <c r="E56" s="23"/>
      <c r="F56" s="23">
        <f>F8</f>
        <v>205000</v>
      </c>
      <c r="G56" s="23">
        <f>G8</f>
        <v>194668</v>
      </c>
      <c r="H56" s="23">
        <f t="shared" ref="H56:X56" si="10">H8</f>
        <v>184856.7328</v>
      </c>
      <c r="I56" s="23">
        <f t="shared" si="10"/>
        <v>175521.46779360002</v>
      </c>
      <c r="J56" s="23">
        <f t="shared" si="10"/>
        <v>166657.63367002321</v>
      </c>
      <c r="K56" s="23">
        <f t="shared" si="10"/>
        <v>158224.75740632004</v>
      </c>
      <c r="L56" s="23">
        <f t="shared" si="10"/>
        <v>150202.76220581963</v>
      </c>
      <c r="M56" s="23">
        <f t="shared" si="10"/>
        <v>142587.48216198458</v>
      </c>
      <c r="N56" s="23">
        <f t="shared" si="10"/>
        <v>135344.03806815576</v>
      </c>
      <c r="O56" s="23">
        <f t="shared" si="10"/>
        <v>128455.02653048662</v>
      </c>
      <c r="P56" s="23">
        <f t="shared" si="10"/>
        <v>103757.19789292989</v>
      </c>
      <c r="Q56" s="23">
        <f t="shared" si="10"/>
        <v>98369.605392339523</v>
      </c>
      <c r="R56" s="23">
        <f t="shared" si="10"/>
        <v>93227.334270454972</v>
      </c>
      <c r="S56" s="23">
        <f t="shared" si="10"/>
        <v>88337.560587969609</v>
      </c>
      <c r="T56" s="23">
        <f t="shared" si="10"/>
        <v>83688.79646202772</v>
      </c>
      <c r="U56" s="23">
        <f t="shared" si="10"/>
        <v>79255.382469451797</v>
      </c>
      <c r="V56" s="23">
        <f t="shared" si="10"/>
        <v>75042.958891200426</v>
      </c>
      <c r="W56" s="23">
        <f t="shared" si="10"/>
        <v>71041.293108327169</v>
      </c>
      <c r="X56" s="23">
        <f t="shared" si="10"/>
        <v>67228.151700737697</v>
      </c>
      <c r="Y56" s="26">
        <f>Y8</f>
        <v>63596.150805105346</v>
      </c>
    </row>
    <row r="57" spans="3:25" ht="14.95" x14ac:dyDescent="0.25">
      <c r="C57" s="22" t="s">
        <v>79</v>
      </c>
      <c r="D57" s="23"/>
      <c r="E57" s="23"/>
      <c r="F57" s="23">
        <f>SUM(F9:F12,F15)</f>
        <v>-314000</v>
      </c>
      <c r="G57" s="23">
        <f>SUM(G9:G12,G15)</f>
        <v>-114189.4</v>
      </c>
      <c r="H57" s="23">
        <f t="shared" ref="H57:X57" si="11">SUM(H9:H12,H15)</f>
        <v>-126469.05744000002</v>
      </c>
      <c r="I57" s="23">
        <f t="shared" si="11"/>
        <v>-120082.37003928001</v>
      </c>
      <c r="J57" s="23">
        <f t="shared" si="11"/>
        <v>-130277.49168595717</v>
      </c>
      <c r="K57" s="23">
        <f t="shared" si="11"/>
        <v>-139122.0123048253</v>
      </c>
      <c r="L57" s="23">
        <f t="shared" si="11"/>
        <v>-132068.52628097069</v>
      </c>
      <c r="M57" s="23">
        <f t="shared" si="11"/>
        <v>-139283.62586798737</v>
      </c>
      <c r="N57" s="23">
        <f t="shared" si="11"/>
        <v>-145412.31407078687</v>
      </c>
      <c r="O57" s="23">
        <f t="shared" si="11"/>
        <v>-150543.02499487519</v>
      </c>
      <c r="P57" s="23">
        <f t="shared" si="11"/>
        <v>-69938.592414294486</v>
      </c>
      <c r="Q57" s="23">
        <f t="shared" si="11"/>
        <v>-76661.726307639037</v>
      </c>
      <c r="R57" s="23">
        <f t="shared" si="11"/>
        <v>-77560.936368615381</v>
      </c>
      <c r="S57" s="23">
        <f t="shared" si="11"/>
        <v>-78142.210550185147</v>
      </c>
      <c r="T57" s="23">
        <f t="shared" si="11"/>
        <v>-82839.323715984588</v>
      </c>
      <c r="U57" s="23">
        <f t="shared" si="11"/>
        <v>-82622.246461575123</v>
      </c>
      <c r="V57" s="23">
        <f t="shared" si="11"/>
        <v>-82180.503477468737</v>
      </c>
      <c r="W57" s="23">
        <f t="shared" si="11"/>
        <v>-85276.25898304084</v>
      </c>
      <c r="X57" s="23">
        <f t="shared" si="11"/>
        <v>-87775.703329572192</v>
      </c>
      <c r="Y57" s="26">
        <f>SUM(Y9:Y12,Y15)</f>
        <v>-83033.620957192048</v>
      </c>
    </row>
    <row r="58" spans="3:25" ht="14.9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23">
        <f>(K53+K54)*Assumptions!I18+SUM(K8:K11)*Assumptions!I18</f>
        <v>2757.4751933261182</v>
      </c>
      <c r="L58" s="23">
        <f>(L53+L54)*Assumptions!J18+SUM(L8:L11)*Assumptions!J18</f>
        <v>3327.0481874999364</v>
      </c>
      <c r="M58" s="23">
        <f>(M53+M54)*Assumptions!K18+SUM(M8:M11)*Assumptions!K18</f>
        <v>3896.1189103281599</v>
      </c>
      <c r="N58" s="23">
        <f>(N53+N54)*Assumptions!L18+SUM(N8:N11)*Assumptions!L18</f>
        <v>3908.8670429356798</v>
      </c>
      <c r="O58" s="23">
        <f>(O53+O54)*Assumptions!M18+SUM(O8:O11)*Assumptions!M18</f>
        <v>3400.7082461164346</v>
      </c>
      <c r="P58" s="23">
        <f>(P53+P54)*Assumptions!N18+SUM(P8:P11)*Assumptions!N18</f>
        <v>1714.6991491583935</v>
      </c>
      <c r="Q58" s="23">
        <f>(Q53+Q54)*Assumptions!O18+SUM(Q8:Q11)*Assumptions!O18</f>
        <v>2931.3028192477113</v>
      </c>
      <c r="R58" s="23">
        <f>(R53+R54)*Assumptions!P18+SUM(R8:R11)*Assumptions!P18</f>
        <v>3721.4637927740268</v>
      </c>
      <c r="S58" s="23">
        <f>(S53+S54)*Assumptions!Q18+SUM(S8:S11)*Assumptions!Q18</f>
        <v>4311.1668606241274</v>
      </c>
      <c r="T58" s="23">
        <f>(T53+T54)*Assumptions!R18+SUM(T8:T11)*Assumptions!R18</f>
        <v>4714.7744997746795</v>
      </c>
      <c r="U58" s="23">
        <f>(U53+U54)*Assumptions!S18+SUM(U8:U11)*Assumptions!S18</f>
        <v>4768.8746578895061</v>
      </c>
      <c r="V58" s="23">
        <f>(V53+V54)*Assumptions!T18+SUM(V8:V11)*Assumptions!T18</f>
        <v>4664.8829885466012</v>
      </c>
      <c r="W58" s="23">
        <f>(W53+W54)*Assumptions!U18+SUM(W8:W11)*Assumptions!U18</f>
        <v>4413.9132248885489</v>
      </c>
      <c r="X58" s="23">
        <f>(X53+X54)*Assumptions!V18+SUM(X8:X11)*Assumptions!V18</f>
        <v>3876.171745407145</v>
      </c>
      <c r="Y58" s="26">
        <f>(Y53+Y54)*Assumptions!W18+SUM(Y8:Y11)*Assumptions!W18</f>
        <v>3071.3005160360217</v>
      </c>
    </row>
    <row r="59" spans="3:25" ht="14.95" x14ac:dyDescent="0.25">
      <c r="C59" s="38" t="s">
        <v>81</v>
      </c>
      <c r="D59" s="23"/>
      <c r="E59" s="23"/>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6">
        <v>0</v>
      </c>
    </row>
    <row r="60" spans="3:25" ht="14.9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ht="14.95" x14ac:dyDescent="0.25">
      <c r="C61" s="39" t="s">
        <v>75</v>
      </c>
      <c r="D61" s="28"/>
      <c r="E61" s="28"/>
      <c r="F61" s="28">
        <f>SUM(F53:F60)</f>
        <v>-306260.47817019193</v>
      </c>
      <c r="G61" s="28">
        <f>SUM(G53:G60)</f>
        <v>-230634.91329699958</v>
      </c>
      <c r="H61" s="28">
        <f t="shared" ref="H61:Y61" si="12">SUM(H53:H60)</f>
        <v>-174448.07862247957</v>
      </c>
      <c r="I61" s="28">
        <f t="shared" si="12"/>
        <v>-119317.08823690194</v>
      </c>
      <c r="J61" s="28">
        <f t="shared" si="12"/>
        <v>-81376.639702851098</v>
      </c>
      <c r="K61" s="28">
        <f t="shared" si="12"/>
        <v>-59516.419408030233</v>
      </c>
      <c r="L61" s="28">
        <f t="shared" si="12"/>
        <v>-38055.13529568135</v>
      </c>
      <c r="M61" s="28">
        <f t="shared" si="12"/>
        <v>-30855.160091355985</v>
      </c>
      <c r="N61" s="28">
        <f t="shared" si="12"/>
        <v>-37014.569051051418</v>
      </c>
      <c r="O61" s="28">
        <f t="shared" si="12"/>
        <v>-55701.859269323562</v>
      </c>
      <c r="P61" s="28">
        <f t="shared" si="12"/>
        <v>-20168.554641529761</v>
      </c>
      <c r="Q61" s="28">
        <f t="shared" si="12"/>
        <v>4470.6272624184394</v>
      </c>
      <c r="R61" s="28">
        <f t="shared" si="12"/>
        <v>23858.488957032052</v>
      </c>
      <c r="S61" s="28">
        <f t="shared" si="12"/>
        <v>38365.005855440642</v>
      </c>
      <c r="T61" s="28">
        <f t="shared" si="12"/>
        <v>43929.253101258451</v>
      </c>
      <c r="U61" s="28">
        <f t="shared" si="12"/>
        <v>45331.263767024633</v>
      </c>
      <c r="V61" s="28">
        <f t="shared" si="12"/>
        <v>42858.602169302925</v>
      </c>
      <c r="W61" s="28">
        <f t="shared" si="12"/>
        <v>33037.549519477812</v>
      </c>
      <c r="X61" s="28">
        <f t="shared" si="12"/>
        <v>16366.169636050454</v>
      </c>
      <c r="Y61" s="29">
        <f t="shared" si="12"/>
        <v>-2.3010215954855084E-10</v>
      </c>
    </row>
    <row r="62" spans="3:25" ht="14.95" x14ac:dyDescent="0.25">
      <c r="C62" s="6"/>
    </row>
    <row r="63" spans="3:25" ht="14.95" x14ac:dyDescent="0.25">
      <c r="C63" s="3" t="s">
        <v>83</v>
      </c>
    </row>
    <row r="64" spans="3:25" ht="14.95" x14ac:dyDescent="0.25">
      <c r="C64" s="37" t="s">
        <v>74</v>
      </c>
      <c r="D64" s="20"/>
      <c r="E64" s="20"/>
      <c r="F64" s="20">
        <v>0</v>
      </c>
      <c r="G64" s="20">
        <f>F72</f>
        <v>115637.24697073083</v>
      </c>
      <c r="H64" s="20">
        <f t="shared" ref="H64:Y64" si="13">G72</f>
        <v>112665.93684956006</v>
      </c>
      <c r="I64" s="20">
        <f t="shared" si="13"/>
        <v>108155.17272354248</v>
      </c>
      <c r="J64" s="20">
        <f t="shared" si="13"/>
        <v>103919.35681328418</v>
      </c>
      <c r="K64" s="20">
        <f t="shared" si="13"/>
        <v>98320.56228561906</v>
      </c>
      <c r="L64" s="20">
        <f t="shared" si="13"/>
        <v>91447.791588319538</v>
      </c>
      <c r="M64" s="20">
        <f t="shared" si="13"/>
        <v>84847.953637796338</v>
      </c>
      <c r="N64" s="20">
        <f t="shared" si="13"/>
        <v>77113.092687738666</v>
      </c>
      <c r="O64" s="20">
        <f t="shared" si="13"/>
        <v>68313.74963804429</v>
      </c>
      <c r="P64" s="20">
        <f t="shared" si="13"/>
        <v>58514.101913274688</v>
      </c>
      <c r="Q64" s="20">
        <f t="shared" si="13"/>
        <v>54847.670322320257</v>
      </c>
      <c r="R64" s="20">
        <f t="shared" si="13"/>
        <v>50311.025187316154</v>
      </c>
      <c r="S64" s="20">
        <f t="shared" si="13"/>
        <v>45454.083669617379</v>
      </c>
      <c r="T64" s="20">
        <f t="shared" si="13"/>
        <v>40298.229075246578</v>
      </c>
      <c r="U64" s="20">
        <f t="shared" si="13"/>
        <v>34422.213291653956</v>
      </c>
      <c r="V64" s="20">
        <f t="shared" si="13"/>
        <v>28290.697168319421</v>
      </c>
      <c r="W64" s="20">
        <f t="shared" si="13"/>
        <v>21918.029165932156</v>
      </c>
      <c r="X64" s="20">
        <f t="shared" si="13"/>
        <v>14942.817936385913</v>
      </c>
      <c r="Y64" s="21">
        <f t="shared" si="13"/>
        <v>7402.3859742783643</v>
      </c>
    </row>
    <row r="65" spans="3:25" ht="14.9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ht="14.9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ht="14.9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ht="14.9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ht="14.9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23">
        <f>(O64+O65)*Assumptions!M18</f>
        <v>2732.5499855217718</v>
      </c>
      <c r="P69" s="23">
        <f>(P64+P65)*Assumptions!N18</f>
        <v>2340.5640765309877</v>
      </c>
      <c r="Q69" s="23">
        <f>(Q64+Q65)*Assumptions!O18</f>
        <v>2193.9068128928102</v>
      </c>
      <c r="R69" s="23">
        <f>(R64+R65)*Assumptions!P18</f>
        <v>2012.4410074926461</v>
      </c>
      <c r="S69" s="23">
        <f>(S64+S65)*Assumptions!Q18</f>
        <v>1818.1633467846952</v>
      </c>
      <c r="T69" s="23">
        <f>(T64+T65)*Assumptions!R18</f>
        <v>1611.9291630098633</v>
      </c>
      <c r="U69" s="23">
        <f>(U64+U65)*Assumptions!S18</f>
        <v>1376.8885316661583</v>
      </c>
      <c r="V69" s="23">
        <f>(V64+V65)*Assumptions!T18</f>
        <v>1131.6278867327769</v>
      </c>
      <c r="W69" s="23">
        <f>(W64+W65)*Assumptions!U18</f>
        <v>876.72116663728627</v>
      </c>
      <c r="X69" s="23">
        <f>(X64+X65)*Assumptions!V18</f>
        <v>597.71271745543652</v>
      </c>
      <c r="Y69" s="26">
        <f>(Y64+Y65)*Assumptions!W18</f>
        <v>296.09543897113457</v>
      </c>
    </row>
    <row r="70" spans="3:25" ht="14.95" x14ac:dyDescent="0.25">
      <c r="C70" s="38" t="s">
        <v>81</v>
      </c>
      <c r="D70" s="23"/>
      <c r="E70" s="23"/>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6">
        <v>0</v>
      </c>
    </row>
    <row r="71" spans="3:25" ht="14.95" x14ac:dyDescent="0.25">
      <c r="C71" s="38" t="s">
        <v>82</v>
      </c>
      <c r="D71" s="23"/>
      <c r="E71" s="23"/>
      <c r="F71" s="23">
        <f>F30</f>
        <v>-8000</v>
      </c>
      <c r="G71" s="23">
        <f>G30</f>
        <v>-7596.8</v>
      </c>
      <c r="H71" s="23">
        <f t="shared" ref="H71:Y71" si="14">H30</f>
        <v>-9017.4016000000029</v>
      </c>
      <c r="I71" s="23">
        <f t="shared" si="14"/>
        <v>-8562.0228192000013</v>
      </c>
      <c r="J71" s="23">
        <f t="shared" si="14"/>
        <v>-9755.5688001964809</v>
      </c>
      <c r="K71" s="23">
        <f t="shared" si="14"/>
        <v>-10805.593188724297</v>
      </c>
      <c r="L71" s="23">
        <f t="shared" si="14"/>
        <v>-10257.749614055976</v>
      </c>
      <c r="M71" s="23">
        <f t="shared" si="14"/>
        <v>-11128.779095569529</v>
      </c>
      <c r="N71" s="23">
        <f t="shared" si="14"/>
        <v>-11883.866757203921</v>
      </c>
      <c r="O71" s="23">
        <f t="shared" si="14"/>
        <v>-12532.197710291379</v>
      </c>
      <c r="P71" s="23">
        <f t="shared" si="14"/>
        <v>-6006.9956674854157</v>
      </c>
      <c r="Q71" s="23">
        <f t="shared" si="14"/>
        <v>-6730.5519478969145</v>
      </c>
      <c r="R71" s="23">
        <f t="shared" si="14"/>
        <v>-6869.3825251914213</v>
      </c>
      <c r="S71" s="23">
        <f t="shared" si="14"/>
        <v>-6974.0179411554964</v>
      </c>
      <c r="T71" s="23">
        <f t="shared" si="14"/>
        <v>-7487.9449466024807</v>
      </c>
      <c r="U71" s="23">
        <f t="shared" si="14"/>
        <v>-7508.4046550006969</v>
      </c>
      <c r="V71" s="23">
        <f t="shared" si="14"/>
        <v>-7504.2958891200433</v>
      </c>
      <c r="W71" s="23">
        <f t="shared" si="14"/>
        <v>-7851.9323961835289</v>
      </c>
      <c r="X71" s="23">
        <f t="shared" si="14"/>
        <v>-8138.1446795629854</v>
      </c>
      <c r="Y71" s="26">
        <f t="shared" si="14"/>
        <v>-7698.4814132495949</v>
      </c>
    </row>
    <row r="72" spans="3:25" ht="14.95" x14ac:dyDescent="0.25">
      <c r="C72" s="39" t="s">
        <v>75</v>
      </c>
      <c r="D72" s="28"/>
      <c r="E72" s="28"/>
      <c r="F72" s="28">
        <f>SUM(F64:F71)</f>
        <v>115637.24697073083</v>
      </c>
      <c r="G72" s="28">
        <f>SUM(G64:G71)</f>
        <v>112665.93684956006</v>
      </c>
      <c r="H72" s="28">
        <f t="shared" ref="H72:Y72" si="15">SUM(H64:H71)</f>
        <v>108155.17272354248</v>
      </c>
      <c r="I72" s="28">
        <f t="shared" si="15"/>
        <v>103919.35681328418</v>
      </c>
      <c r="J72" s="28">
        <f t="shared" si="15"/>
        <v>98320.56228561906</v>
      </c>
      <c r="K72" s="28">
        <f t="shared" si="15"/>
        <v>91447.791588319538</v>
      </c>
      <c r="L72" s="28">
        <f t="shared" si="15"/>
        <v>84847.953637796338</v>
      </c>
      <c r="M72" s="28">
        <f t="shared" si="15"/>
        <v>77113.092687738666</v>
      </c>
      <c r="N72" s="28">
        <f t="shared" si="15"/>
        <v>68313.74963804429</v>
      </c>
      <c r="O72" s="28">
        <f t="shared" si="15"/>
        <v>58514.101913274688</v>
      </c>
      <c r="P72" s="28">
        <f t="shared" si="15"/>
        <v>54847.670322320257</v>
      </c>
      <c r="Q72" s="28">
        <f t="shared" si="15"/>
        <v>50311.025187316154</v>
      </c>
      <c r="R72" s="28">
        <f t="shared" si="15"/>
        <v>45454.083669617379</v>
      </c>
      <c r="S72" s="28">
        <f t="shared" si="15"/>
        <v>40298.229075246578</v>
      </c>
      <c r="T72" s="28">
        <f t="shared" si="15"/>
        <v>34422.213291653956</v>
      </c>
      <c r="U72" s="28">
        <f t="shared" si="15"/>
        <v>28290.697168319421</v>
      </c>
      <c r="V72" s="28">
        <f t="shared" si="15"/>
        <v>21918.029165932156</v>
      </c>
      <c r="W72" s="28">
        <f t="shared" si="15"/>
        <v>14942.817936385913</v>
      </c>
      <c r="X72" s="28">
        <f t="shared" si="15"/>
        <v>7402.3859742783643</v>
      </c>
      <c r="Y72" s="29">
        <f t="shared" si="15"/>
        <v>-9.6406438387930393E-11</v>
      </c>
    </row>
    <row r="73" spans="3:25" ht="14.95" x14ac:dyDescent="0.25">
      <c r="C73" s="6"/>
    </row>
    <row r="74" spans="3:25" ht="14.95" x14ac:dyDescent="0.25">
      <c r="C74" s="3" t="s">
        <v>84</v>
      </c>
    </row>
    <row r="75" spans="3:25" ht="14.95" x14ac:dyDescent="0.25">
      <c r="C75" s="37" t="s">
        <v>74</v>
      </c>
      <c r="D75" s="20"/>
      <c r="E75" s="20"/>
      <c r="F75" s="20">
        <v>0</v>
      </c>
      <c r="G75" s="20">
        <f>F83</f>
        <v>65696.035804775805</v>
      </c>
      <c r="H75" s="20">
        <f t="shared" ref="H75:Y75" si="16">G83</f>
        <v>60455.602540301981</v>
      </c>
      <c r="I75" s="20">
        <f t="shared" si="16"/>
        <v>55103.244443882992</v>
      </c>
      <c r="J75" s="20">
        <f t="shared" si="16"/>
        <v>49634.079712726583</v>
      </c>
      <c r="K75" s="20">
        <f t="shared" si="16"/>
        <v>44042.218039575499</v>
      </c>
      <c r="L75" s="20">
        <f t="shared" si="16"/>
        <v>38322.336786151965</v>
      </c>
      <c r="M75" s="20">
        <f t="shared" si="16"/>
        <v>32468.88570523337</v>
      </c>
      <c r="N75" s="20">
        <f t="shared" si="16"/>
        <v>26475.309974540531</v>
      </c>
      <c r="O75" s="20">
        <f t="shared" si="16"/>
        <v>20335.566408051011</v>
      </c>
      <c r="P75" s="20">
        <f t="shared" si="16"/>
        <v>14043.356206071245</v>
      </c>
      <c r="Q75" s="20">
        <f t="shared" si="16"/>
        <v>12765.01576932826</v>
      </c>
      <c r="R75" s="20">
        <f t="shared" si="16"/>
        <v>11461.306440854725</v>
      </c>
      <c r="S75" s="20">
        <f t="shared" si="16"/>
        <v>10131.513116116788</v>
      </c>
      <c r="T75" s="20">
        <f t="shared" si="16"/>
        <v>8774.5434551216822</v>
      </c>
      <c r="U75" s="20">
        <f t="shared" si="16"/>
        <v>7389.2526583212466</v>
      </c>
      <c r="V75" s="20">
        <f t="shared" si="16"/>
        <v>5974.7575272921631</v>
      </c>
      <c r="W75" s="20">
        <f t="shared" si="16"/>
        <v>4529.8055475878573</v>
      </c>
      <c r="X75" s="20">
        <f t="shared" si="16"/>
        <v>3053.0858684719237</v>
      </c>
      <c r="Y75" s="21">
        <f t="shared" si="16"/>
        <v>1543.5288842892828</v>
      </c>
    </row>
    <row r="76" spans="3:25" ht="14.9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ht="14.95" x14ac:dyDescent="0.25">
      <c r="C77" s="22" t="s">
        <v>77</v>
      </c>
      <c r="D77" s="23"/>
      <c r="E77" s="23"/>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ht="14.9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ht="14.9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ht="14.9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23">
        <f>(K75+K76)*Assumptions!I20</f>
        <v>1761.68872158302</v>
      </c>
      <c r="L80" s="23">
        <f>(L75+L76)*Assumptions!J20</f>
        <v>1532.8934714460786</v>
      </c>
      <c r="M80" s="23">
        <f>(M75+M76)*Assumptions!K20</f>
        <v>1298.7554282093349</v>
      </c>
      <c r="N80" s="23">
        <f>(N75+N76)*Assumptions!L20</f>
        <v>1059.0123989816213</v>
      </c>
      <c r="O80" s="23">
        <f>(O75+O76)*Assumptions!M20</f>
        <v>813.42265632204044</v>
      </c>
      <c r="P80" s="23">
        <f>(P75+P76)*Assumptions!N20</f>
        <v>561.73424824284984</v>
      </c>
      <c r="Q80" s="23">
        <f>(Q75+Q76)*Assumptions!O20</f>
        <v>510.60063077313043</v>
      </c>
      <c r="R80" s="23">
        <f>(R75+R76)*Assumptions!P20</f>
        <v>458.45225763418904</v>
      </c>
      <c r="S80" s="23">
        <f>(S75+S76)*Assumptions!Q20</f>
        <v>405.26052464467153</v>
      </c>
      <c r="T80" s="23">
        <f>(T75+T76)*Assumptions!R20</f>
        <v>350.98173820486727</v>
      </c>
      <c r="U80" s="23">
        <f>(U75+U76)*Assumptions!S20</f>
        <v>295.57010633284989</v>
      </c>
      <c r="V80" s="23">
        <f>(V75+V76)*Assumptions!T20</f>
        <v>238.99030109168652</v>
      </c>
      <c r="W80" s="23">
        <f>(W75+W76)*Assumptions!U20</f>
        <v>181.19222190351431</v>
      </c>
      <c r="X80" s="23">
        <f>(X75+X76)*Assumptions!V20</f>
        <v>122.12343473887695</v>
      </c>
      <c r="Y80" s="26">
        <f>(Y75+Y76)*Assumptions!W20</f>
        <v>61.741155371571317</v>
      </c>
    </row>
    <row r="81" spans="3:25" ht="14.95" x14ac:dyDescent="0.25">
      <c r="C81" s="38" t="s">
        <v>81</v>
      </c>
      <c r="D81" s="23"/>
      <c r="E81" s="23"/>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6">
        <v>0</v>
      </c>
    </row>
    <row r="82" spans="3:25" ht="14.95" x14ac:dyDescent="0.25">
      <c r="C82" s="38" t="s">
        <v>82</v>
      </c>
      <c r="D82" s="23"/>
      <c r="E82" s="23"/>
      <c r="F82" s="23">
        <f>-SUM(F75:F81)*F36/SUM(F36:$Y$36)</f>
        <v>-7967.1953946852755</v>
      </c>
      <c r="G82" s="23">
        <f>-SUM(G75:G81)*G36/SUM(G36:$Y$36)</f>
        <v>-7868.2746966648656</v>
      </c>
      <c r="H82" s="23">
        <f>-SUM(H75:H81)*H36/SUM(H36:$Y$36)</f>
        <v>-7770.5821980310729</v>
      </c>
      <c r="I82" s="23">
        <f>-SUM(I75:I81)*I36/SUM(I36:$Y$36)</f>
        <v>-7673.2945089117256</v>
      </c>
      <c r="J82" s="23">
        <f>-SUM(J75:J81)*J36/SUM(J36:$Y$36)</f>
        <v>-7577.2248616601501</v>
      </c>
      <c r="K82" s="23">
        <f>-SUM(K75:K81)*K36/SUM(K36:$Y$36)</f>
        <v>-7481.5699750065542</v>
      </c>
      <c r="L82" s="23">
        <f>-SUM(L75:L81)*L36/SUM(L36:$Y$36)</f>
        <v>-7386.3445523646733</v>
      </c>
      <c r="M82" s="23">
        <f>-SUM(M75:M81)*M36/SUM(M36:$Y$36)</f>
        <v>-7292.3311589021732</v>
      </c>
      <c r="N82" s="23">
        <f>-SUM(N75:N81)*N36/SUM(N36:$Y$36)</f>
        <v>-7198.7559654711413</v>
      </c>
      <c r="O82" s="23">
        <f>-SUM(O75:O81)*O36/SUM(O36:$Y$36)</f>
        <v>-7105.6328583018058</v>
      </c>
      <c r="P82" s="23">
        <f>-SUM(P75:P81)*P36/SUM(P36:$Y$36)</f>
        <v>-1840.0746849858356</v>
      </c>
      <c r="Q82" s="23">
        <f>-SUM(Q75:Q81)*Q36/SUM(Q36:$Y$36)</f>
        <v>-1814.309959246664</v>
      </c>
      <c r="R82" s="23">
        <f>-SUM(R75:R81)*R36/SUM(R36:$Y$36)</f>
        <v>-1788.2455823721273</v>
      </c>
      <c r="S82" s="23">
        <f>-SUM(S75:S81)*S36/SUM(S36:$Y$36)</f>
        <v>-1762.2301856397769</v>
      </c>
      <c r="T82" s="23">
        <f>-SUM(T75:T81)*T36/SUM(T36:$Y$36)</f>
        <v>-1736.2725350053033</v>
      </c>
      <c r="U82" s="23">
        <f>-SUM(U75:U81)*U36/SUM(U36:$Y$36)</f>
        <v>-1710.0652373619332</v>
      </c>
      <c r="V82" s="23">
        <f>-SUM(V75:V81)*V36/SUM(V36:$Y$36)</f>
        <v>-1683.9422807959922</v>
      </c>
      <c r="W82" s="23">
        <f>-SUM(W75:W81)*W36/SUM(W36:$Y$36)</f>
        <v>-1657.9119010194477</v>
      </c>
      <c r="X82" s="23">
        <f>-SUM(X75:X81)*X36/SUM(X36:$Y$36)</f>
        <v>-1631.6804189215177</v>
      </c>
      <c r="Y82" s="26">
        <f>-SUM(Y75:Y81)*Y36/SUM(Y36:$Y$36)</f>
        <v>-1605.2700396608541</v>
      </c>
    </row>
    <row r="83" spans="3:25" ht="14.95" x14ac:dyDescent="0.25">
      <c r="C83" s="39" t="s">
        <v>75</v>
      </c>
      <c r="D83" s="28"/>
      <c r="E83" s="28"/>
      <c r="F83" s="28">
        <f>SUM(F75:F82)</f>
        <v>65696.035804775805</v>
      </c>
      <c r="G83" s="28">
        <f>SUM(G75:G82)</f>
        <v>60455.602540301981</v>
      </c>
      <c r="H83" s="28">
        <f t="shared" ref="H83:Y83" si="17">SUM(H75:H82)</f>
        <v>55103.244443882992</v>
      </c>
      <c r="I83" s="28">
        <f t="shared" si="17"/>
        <v>49634.079712726583</v>
      </c>
      <c r="J83" s="28">
        <f t="shared" si="17"/>
        <v>44042.218039575499</v>
      </c>
      <c r="K83" s="28">
        <f t="shared" si="17"/>
        <v>38322.336786151965</v>
      </c>
      <c r="L83" s="28">
        <f t="shared" si="17"/>
        <v>32468.88570523337</v>
      </c>
      <c r="M83" s="28">
        <f t="shared" si="17"/>
        <v>26475.309974540531</v>
      </c>
      <c r="N83" s="28">
        <f t="shared" si="17"/>
        <v>20335.566408051011</v>
      </c>
      <c r="O83" s="28">
        <f t="shared" si="17"/>
        <v>14043.356206071245</v>
      </c>
      <c r="P83" s="28">
        <f t="shared" si="17"/>
        <v>12765.01576932826</v>
      </c>
      <c r="Q83" s="28">
        <f t="shared" si="17"/>
        <v>11461.306440854725</v>
      </c>
      <c r="R83" s="28">
        <f t="shared" si="17"/>
        <v>10131.513116116788</v>
      </c>
      <c r="S83" s="28">
        <f t="shared" si="17"/>
        <v>8774.5434551216822</v>
      </c>
      <c r="T83" s="28">
        <f t="shared" si="17"/>
        <v>7389.2526583212466</v>
      </c>
      <c r="U83" s="28">
        <f t="shared" si="17"/>
        <v>5974.7575272921631</v>
      </c>
      <c r="V83" s="28">
        <f t="shared" si="17"/>
        <v>4529.8055475878573</v>
      </c>
      <c r="W83" s="28">
        <f t="shared" si="17"/>
        <v>3053.0858684719237</v>
      </c>
      <c r="X83" s="28">
        <f t="shared" si="17"/>
        <v>1543.5288842892828</v>
      </c>
      <c r="Y83" s="29">
        <f t="shared" si="17"/>
        <v>0</v>
      </c>
    </row>
    <row r="85" spans="3:25" ht="14.95" x14ac:dyDescent="0.25">
      <c r="C85" s="3" t="s">
        <v>85</v>
      </c>
    </row>
    <row r="86" spans="3:25" ht="14.95" x14ac:dyDescent="0.25">
      <c r="C86" s="37" t="s">
        <v>74</v>
      </c>
      <c r="D86" s="20"/>
      <c r="E86" s="20"/>
      <c r="F86" s="20">
        <f>F53+F64+F75</f>
        <v>0</v>
      </c>
      <c r="G86" s="20">
        <f t="shared" ref="G86:Y86" si="18">G53+G64+G75</f>
        <v>-124927.19539468529</v>
      </c>
      <c r="H86" s="20">
        <f t="shared" si="18"/>
        <v>-57513.373907137538</v>
      </c>
      <c r="I86" s="20">
        <f t="shared" si="18"/>
        <v>-11189.661455054105</v>
      </c>
      <c r="J86" s="20">
        <f t="shared" si="18"/>
        <v>34236.348289108821</v>
      </c>
      <c r="K86" s="20">
        <f t="shared" si="18"/>
        <v>60986.140622343461</v>
      </c>
      <c r="L86" s="20">
        <f t="shared" si="18"/>
        <v>70253.708966441278</v>
      </c>
      <c r="M86" s="20">
        <f t="shared" si="18"/>
        <v>79261.70404734835</v>
      </c>
      <c r="N86" s="20">
        <f t="shared" si="18"/>
        <v>72733.242570923219</v>
      </c>
      <c r="O86" s="20">
        <f t="shared" si="18"/>
        <v>51634.746995043883</v>
      </c>
      <c r="P86" s="20">
        <f t="shared" si="18"/>
        <v>16855.598850022368</v>
      </c>
      <c r="Q86" s="20">
        <f t="shared" si="18"/>
        <v>47444.131450118752</v>
      </c>
      <c r="R86" s="20">
        <f t="shared" si="18"/>
        <v>66242.958890589318</v>
      </c>
      <c r="S86" s="20">
        <f t="shared" si="18"/>
        <v>79444.085742766212</v>
      </c>
      <c r="T86" s="20">
        <f t="shared" si="18"/>
        <v>87437.778385808895</v>
      </c>
      <c r="U86" s="20">
        <f t="shared" si="18"/>
        <v>85740.719051233653</v>
      </c>
      <c r="V86" s="20">
        <f t="shared" si="18"/>
        <v>79596.718462636214</v>
      </c>
      <c r="W86" s="20">
        <f t="shared" si="18"/>
        <v>69306.436882822949</v>
      </c>
      <c r="X86" s="20">
        <f t="shared" si="18"/>
        <v>51033.453324335649</v>
      </c>
      <c r="Y86" s="21">
        <f t="shared" si="18"/>
        <v>25312.084494618102</v>
      </c>
    </row>
    <row r="87" spans="3:25" ht="14.95" x14ac:dyDescent="0.25">
      <c r="C87" s="22" t="s">
        <v>76</v>
      </c>
      <c r="D87" s="23"/>
      <c r="E87" s="23"/>
      <c r="F87" s="23">
        <f t="shared" ref="F87:Y90" si="19">F54+F65+F76</f>
        <v>0</v>
      </c>
      <c r="G87" s="23">
        <f t="shared" si="19"/>
        <v>0</v>
      </c>
      <c r="H87" s="23">
        <f t="shared" si="19"/>
        <v>0</v>
      </c>
      <c r="I87" s="23">
        <f t="shared" si="19"/>
        <v>0</v>
      </c>
      <c r="J87" s="23">
        <f t="shared" si="19"/>
        <v>0</v>
      </c>
      <c r="K87" s="23">
        <f t="shared" si="19"/>
        <v>0</v>
      </c>
      <c r="L87" s="23">
        <f t="shared" si="19"/>
        <v>0</v>
      </c>
      <c r="M87" s="23">
        <f t="shared" si="19"/>
        <v>0</v>
      </c>
      <c r="N87" s="23">
        <f t="shared" si="19"/>
        <v>0</v>
      </c>
      <c r="O87" s="23">
        <f t="shared" si="19"/>
        <v>0</v>
      </c>
      <c r="P87" s="23">
        <f t="shared" si="19"/>
        <v>0</v>
      </c>
      <c r="Q87" s="23">
        <f t="shared" si="19"/>
        <v>0</v>
      </c>
      <c r="R87" s="23">
        <f t="shared" si="19"/>
        <v>0</v>
      </c>
      <c r="S87" s="23">
        <f t="shared" si="19"/>
        <v>0</v>
      </c>
      <c r="T87" s="23">
        <f t="shared" si="19"/>
        <v>0</v>
      </c>
      <c r="U87" s="23">
        <f t="shared" si="19"/>
        <v>0</v>
      </c>
      <c r="V87" s="23">
        <f t="shared" si="19"/>
        <v>0</v>
      </c>
      <c r="W87" s="23">
        <f t="shared" si="19"/>
        <v>0</v>
      </c>
      <c r="X87" s="23">
        <f t="shared" si="19"/>
        <v>0</v>
      </c>
      <c r="Y87" s="26">
        <f t="shared" si="19"/>
        <v>0</v>
      </c>
    </row>
    <row r="88" spans="3:25" ht="14.95" x14ac:dyDescent="0.25">
      <c r="C88" s="22" t="s">
        <v>77</v>
      </c>
      <c r="D88" s="23"/>
      <c r="E88" s="23"/>
      <c r="F88" s="23">
        <f t="shared" si="19"/>
        <v>0</v>
      </c>
      <c r="G88" s="23">
        <f t="shared" si="19"/>
        <v>0</v>
      </c>
      <c r="H88" s="23">
        <f t="shared" si="19"/>
        <v>0</v>
      </c>
      <c r="I88" s="23">
        <f t="shared" si="19"/>
        <v>0</v>
      </c>
      <c r="J88" s="23">
        <f t="shared" si="19"/>
        <v>0</v>
      </c>
      <c r="K88" s="23">
        <f t="shared" si="19"/>
        <v>0</v>
      </c>
      <c r="L88" s="23">
        <f t="shared" si="19"/>
        <v>0</v>
      </c>
      <c r="M88" s="23">
        <f t="shared" si="19"/>
        <v>0</v>
      </c>
      <c r="N88" s="23">
        <f t="shared" si="19"/>
        <v>0</v>
      </c>
      <c r="O88" s="23">
        <f t="shared" si="19"/>
        <v>0</v>
      </c>
      <c r="P88" s="23">
        <f t="shared" si="19"/>
        <v>0</v>
      </c>
      <c r="Q88" s="23">
        <f t="shared" si="19"/>
        <v>0</v>
      </c>
      <c r="R88" s="23">
        <f t="shared" si="19"/>
        <v>0</v>
      </c>
      <c r="S88" s="23">
        <f t="shared" si="19"/>
        <v>0</v>
      </c>
      <c r="T88" s="23">
        <f t="shared" si="19"/>
        <v>0</v>
      </c>
      <c r="U88" s="23">
        <f t="shared" si="19"/>
        <v>0</v>
      </c>
      <c r="V88" s="23">
        <f t="shared" si="19"/>
        <v>0</v>
      </c>
      <c r="W88" s="23">
        <f t="shared" si="19"/>
        <v>0</v>
      </c>
      <c r="X88" s="23">
        <f t="shared" si="19"/>
        <v>0</v>
      </c>
      <c r="Y88" s="26">
        <f t="shared" si="19"/>
        <v>0</v>
      </c>
    </row>
    <row r="89" spans="3:25" ht="14.95" x14ac:dyDescent="0.25">
      <c r="C89" s="22" t="s">
        <v>78</v>
      </c>
      <c r="D89" s="23"/>
      <c r="E89" s="23"/>
      <c r="F89" s="23">
        <f t="shared" si="19"/>
        <v>205000</v>
      </c>
      <c r="G89" s="23">
        <f t="shared" si="19"/>
        <v>194668</v>
      </c>
      <c r="H89" s="23">
        <f t="shared" si="19"/>
        <v>184856.7328</v>
      </c>
      <c r="I89" s="23">
        <f t="shared" si="19"/>
        <v>175521.46779360002</v>
      </c>
      <c r="J89" s="23">
        <f t="shared" si="19"/>
        <v>166657.63367002321</v>
      </c>
      <c r="K89" s="23">
        <f t="shared" si="19"/>
        <v>158224.75740632004</v>
      </c>
      <c r="L89" s="23">
        <f t="shared" si="19"/>
        <v>150202.76220581963</v>
      </c>
      <c r="M89" s="23">
        <f t="shared" si="19"/>
        <v>142587.48216198458</v>
      </c>
      <c r="N89" s="23">
        <f t="shared" si="19"/>
        <v>135344.03806815576</v>
      </c>
      <c r="O89" s="23">
        <f t="shared" si="19"/>
        <v>128455.02653048662</v>
      </c>
      <c r="P89" s="23">
        <f t="shared" si="19"/>
        <v>103757.19789292989</v>
      </c>
      <c r="Q89" s="23">
        <f t="shared" si="19"/>
        <v>98369.605392339523</v>
      </c>
      <c r="R89" s="23">
        <f t="shared" si="19"/>
        <v>93227.334270454972</v>
      </c>
      <c r="S89" s="23">
        <f t="shared" si="19"/>
        <v>88337.560587969609</v>
      </c>
      <c r="T89" s="23">
        <f t="shared" si="19"/>
        <v>83688.79646202772</v>
      </c>
      <c r="U89" s="23">
        <f t="shared" si="19"/>
        <v>79255.382469451797</v>
      </c>
      <c r="V89" s="23">
        <f t="shared" si="19"/>
        <v>75042.958891200426</v>
      </c>
      <c r="W89" s="23">
        <f t="shared" si="19"/>
        <v>71041.293108327169</v>
      </c>
      <c r="X89" s="23">
        <f t="shared" si="19"/>
        <v>67228.151700737697</v>
      </c>
      <c r="Y89" s="26">
        <f t="shared" si="19"/>
        <v>63596.150805105346</v>
      </c>
    </row>
    <row r="90" spans="3:25" ht="14.95" x14ac:dyDescent="0.25">
      <c r="C90" s="22" t="s">
        <v>79</v>
      </c>
      <c r="D90" s="23"/>
      <c r="E90" s="23"/>
      <c r="F90" s="23">
        <f>F57+F68+F79</f>
        <v>-314000</v>
      </c>
      <c r="G90" s="23">
        <f t="shared" si="19"/>
        <v>-114189.4</v>
      </c>
      <c r="H90" s="23">
        <f t="shared" si="19"/>
        <v>-126469.05744000002</v>
      </c>
      <c r="I90" s="23">
        <f t="shared" si="19"/>
        <v>-120082.37003928001</v>
      </c>
      <c r="J90" s="23">
        <f t="shared" si="19"/>
        <v>-130277.49168595717</v>
      </c>
      <c r="K90" s="23">
        <f t="shared" si="19"/>
        <v>-139122.0123048253</v>
      </c>
      <c r="L90" s="23">
        <f t="shared" si="19"/>
        <v>-132068.52628097069</v>
      </c>
      <c r="M90" s="23">
        <f t="shared" si="19"/>
        <v>-139283.62586798737</v>
      </c>
      <c r="N90" s="23">
        <f t="shared" si="19"/>
        <v>-145412.31407078687</v>
      </c>
      <c r="O90" s="23">
        <f t="shared" si="19"/>
        <v>-150543.02499487519</v>
      </c>
      <c r="P90" s="23">
        <f t="shared" si="19"/>
        <v>-69938.592414294486</v>
      </c>
      <c r="Q90" s="23">
        <f t="shared" si="19"/>
        <v>-76661.726307639037</v>
      </c>
      <c r="R90" s="23">
        <f t="shared" si="19"/>
        <v>-77560.936368615381</v>
      </c>
      <c r="S90" s="23">
        <f t="shared" si="19"/>
        <v>-78142.210550185147</v>
      </c>
      <c r="T90" s="23">
        <f t="shared" si="19"/>
        <v>-82839.323715984588</v>
      </c>
      <c r="U90" s="23">
        <f t="shared" si="19"/>
        <v>-82622.246461575123</v>
      </c>
      <c r="V90" s="23">
        <f t="shared" si="19"/>
        <v>-82180.503477468737</v>
      </c>
      <c r="W90" s="23">
        <f t="shared" si="19"/>
        <v>-85276.25898304084</v>
      </c>
      <c r="X90" s="23">
        <f t="shared" si="19"/>
        <v>-87775.703329572192</v>
      </c>
      <c r="Y90" s="26">
        <f t="shared" si="19"/>
        <v>-83033.620957192048</v>
      </c>
    </row>
    <row r="91" spans="3:25" ht="14.95" x14ac:dyDescent="0.25">
      <c r="C91" s="22" t="s">
        <v>80</v>
      </c>
      <c r="D91" s="23"/>
      <c r="E91" s="23"/>
      <c r="F91" s="23">
        <f t="shared" ref="F91:Y94" si="20">F58+F69+F80</f>
        <v>40</v>
      </c>
      <c r="G91" s="23">
        <f t="shared" si="20"/>
        <v>2400.2961842125878</v>
      </c>
      <c r="H91" s="23">
        <f t="shared" si="20"/>
        <v>4724.0208901144979</v>
      </c>
      <c r="I91" s="23">
        <f t="shared" si="20"/>
        <v>6222.2293179546359</v>
      </c>
      <c r="J91" s="23">
        <f t="shared" si="20"/>
        <v>7702.4440110252353</v>
      </c>
      <c r="K91" s="23">
        <f t="shared" si="20"/>
        <v>8451.986406333901</v>
      </c>
      <c r="L91" s="23">
        <f t="shared" si="20"/>
        <v>8517.8533224787971</v>
      </c>
      <c r="M91" s="23">
        <f t="shared" si="20"/>
        <v>8588.7924840493488</v>
      </c>
      <c r="N91" s="23">
        <f t="shared" si="20"/>
        <v>8052.4031494268474</v>
      </c>
      <c r="O91" s="23">
        <f t="shared" si="20"/>
        <v>6946.6808879602468</v>
      </c>
      <c r="P91" s="23">
        <f t="shared" si="20"/>
        <v>4616.9974739322315</v>
      </c>
      <c r="Q91" s="23">
        <f t="shared" si="20"/>
        <v>5635.810262913652</v>
      </c>
      <c r="R91" s="23">
        <f t="shared" si="20"/>
        <v>6192.3570579008619</v>
      </c>
      <c r="S91" s="23">
        <f t="shared" si="20"/>
        <v>6534.5907320534943</v>
      </c>
      <c r="T91" s="23">
        <f t="shared" si="20"/>
        <v>6677.6854009894105</v>
      </c>
      <c r="U91" s="23">
        <f t="shared" si="20"/>
        <v>6441.3332958885139</v>
      </c>
      <c r="V91" s="23">
        <f t="shared" si="20"/>
        <v>6035.5011763710654</v>
      </c>
      <c r="W91" s="23">
        <f t="shared" si="20"/>
        <v>5471.826613429349</v>
      </c>
      <c r="X91" s="23">
        <f t="shared" si="20"/>
        <v>4596.0078976014584</v>
      </c>
      <c r="Y91" s="26">
        <f t="shared" si="20"/>
        <v>3429.1371103787278</v>
      </c>
    </row>
    <row r="92" spans="3:25" ht="14.95" x14ac:dyDescent="0.25">
      <c r="C92" s="38" t="s">
        <v>81</v>
      </c>
      <c r="D92" s="23"/>
      <c r="E92" s="23"/>
      <c r="F92" s="23">
        <f t="shared" si="20"/>
        <v>0</v>
      </c>
      <c r="G92" s="23">
        <f t="shared" si="20"/>
        <v>0</v>
      </c>
      <c r="H92" s="23">
        <f t="shared" si="20"/>
        <v>0</v>
      </c>
      <c r="I92" s="23">
        <f t="shared" si="20"/>
        <v>0</v>
      </c>
      <c r="J92" s="23">
        <f t="shared" si="20"/>
        <v>0</v>
      </c>
      <c r="K92" s="23">
        <f t="shared" si="20"/>
        <v>0</v>
      </c>
      <c r="L92" s="23">
        <f t="shared" si="20"/>
        <v>0</v>
      </c>
      <c r="M92" s="23">
        <f t="shared" si="20"/>
        <v>0</v>
      </c>
      <c r="N92" s="23">
        <f t="shared" si="20"/>
        <v>0</v>
      </c>
      <c r="O92" s="23">
        <f t="shared" si="20"/>
        <v>0</v>
      </c>
      <c r="P92" s="23">
        <f t="shared" si="20"/>
        <v>0</v>
      </c>
      <c r="Q92" s="23">
        <f t="shared" si="20"/>
        <v>0</v>
      </c>
      <c r="R92" s="23">
        <f t="shared" si="20"/>
        <v>0</v>
      </c>
      <c r="S92" s="23">
        <f t="shared" si="20"/>
        <v>0</v>
      </c>
      <c r="T92" s="23">
        <f t="shared" si="20"/>
        <v>0</v>
      </c>
      <c r="U92" s="23">
        <f t="shared" si="20"/>
        <v>0</v>
      </c>
      <c r="V92" s="23">
        <f t="shared" si="20"/>
        <v>0</v>
      </c>
      <c r="W92" s="23">
        <f t="shared" si="20"/>
        <v>0</v>
      </c>
      <c r="X92" s="23">
        <f t="shared" si="20"/>
        <v>0</v>
      </c>
      <c r="Y92" s="26">
        <f t="shared" si="20"/>
        <v>0</v>
      </c>
    </row>
    <row r="93" spans="3:25" ht="14.95" x14ac:dyDescent="0.25">
      <c r="C93" s="38" t="s">
        <v>82</v>
      </c>
      <c r="D93" s="23"/>
      <c r="E93" s="23"/>
      <c r="F93" s="23">
        <f t="shared" si="20"/>
        <v>-15967.195394685275</v>
      </c>
      <c r="G93" s="23">
        <f t="shared" si="20"/>
        <v>-15465.074696664866</v>
      </c>
      <c r="H93" s="23">
        <f t="shared" si="20"/>
        <v>-16787.983798031077</v>
      </c>
      <c r="I93" s="23">
        <f t="shared" si="20"/>
        <v>-16235.317328111727</v>
      </c>
      <c r="J93" s="23">
        <f t="shared" si="20"/>
        <v>-17332.793661856631</v>
      </c>
      <c r="K93" s="23">
        <f t="shared" si="20"/>
        <v>-18287.163163730853</v>
      </c>
      <c r="L93" s="23">
        <f t="shared" si="20"/>
        <v>-17644.094166420648</v>
      </c>
      <c r="M93" s="23">
        <f t="shared" si="20"/>
        <v>-18421.110254471703</v>
      </c>
      <c r="N93" s="23">
        <f t="shared" si="20"/>
        <v>-19082.622722675063</v>
      </c>
      <c r="O93" s="23">
        <f t="shared" si="20"/>
        <v>-19637.830568593185</v>
      </c>
      <c r="P93" s="23">
        <f t="shared" si="20"/>
        <v>-7847.0703524712517</v>
      </c>
      <c r="Q93" s="23">
        <f t="shared" si="20"/>
        <v>-8544.8619071435787</v>
      </c>
      <c r="R93" s="23">
        <f t="shared" si="20"/>
        <v>-8657.6281075635488</v>
      </c>
      <c r="S93" s="23">
        <f t="shared" si="20"/>
        <v>-8736.2481267952735</v>
      </c>
      <c r="T93" s="23">
        <f t="shared" si="20"/>
        <v>-9224.2174816077841</v>
      </c>
      <c r="U93" s="23">
        <f t="shared" si="20"/>
        <v>-9218.4698923626311</v>
      </c>
      <c r="V93" s="23">
        <f t="shared" si="20"/>
        <v>-9188.238169916036</v>
      </c>
      <c r="W93" s="23">
        <f t="shared" si="20"/>
        <v>-9509.844297202977</v>
      </c>
      <c r="X93" s="23">
        <f t="shared" si="20"/>
        <v>-9769.8250984845035</v>
      </c>
      <c r="Y93" s="26">
        <f t="shared" si="20"/>
        <v>-9303.7514529104483</v>
      </c>
    </row>
    <row r="94" spans="3:25" ht="14.95" x14ac:dyDescent="0.25">
      <c r="C94" s="39" t="s">
        <v>75</v>
      </c>
      <c r="D94" s="28"/>
      <c r="E94" s="28"/>
      <c r="F94" s="28">
        <f t="shared" si="20"/>
        <v>-124927.19539468529</v>
      </c>
      <c r="G94" s="28">
        <f t="shared" si="20"/>
        <v>-57513.373907137538</v>
      </c>
      <c r="H94" s="28">
        <f t="shared" si="20"/>
        <v>-11189.661455054105</v>
      </c>
      <c r="I94" s="28">
        <f t="shared" si="20"/>
        <v>34236.348289108821</v>
      </c>
      <c r="J94" s="28">
        <f t="shared" si="20"/>
        <v>60986.140622343461</v>
      </c>
      <c r="K94" s="28">
        <f t="shared" si="20"/>
        <v>70253.708966441278</v>
      </c>
      <c r="L94" s="28">
        <f t="shared" si="20"/>
        <v>79261.70404734835</v>
      </c>
      <c r="M94" s="28">
        <f t="shared" si="20"/>
        <v>72733.242570923219</v>
      </c>
      <c r="N94" s="28">
        <f t="shared" si="20"/>
        <v>51634.746995043883</v>
      </c>
      <c r="O94" s="28">
        <f t="shared" si="20"/>
        <v>16855.598850022368</v>
      </c>
      <c r="P94" s="28">
        <f t="shared" si="20"/>
        <v>47444.131450118752</v>
      </c>
      <c r="Q94" s="28">
        <f t="shared" si="20"/>
        <v>66242.958890589318</v>
      </c>
      <c r="R94" s="28">
        <f t="shared" si="20"/>
        <v>79444.085742766212</v>
      </c>
      <c r="S94" s="28">
        <f t="shared" si="20"/>
        <v>87437.778385808895</v>
      </c>
      <c r="T94" s="28">
        <f t="shared" si="20"/>
        <v>85740.719051233653</v>
      </c>
      <c r="U94" s="28">
        <f t="shared" si="20"/>
        <v>79596.718462636214</v>
      </c>
      <c r="V94" s="28">
        <f t="shared" si="20"/>
        <v>69306.436882822949</v>
      </c>
      <c r="W94" s="28">
        <f t="shared" si="20"/>
        <v>51033.453324335649</v>
      </c>
      <c r="X94" s="28">
        <f t="shared" si="20"/>
        <v>25312.084494618102</v>
      </c>
      <c r="Y94" s="29">
        <f t="shared" si="20"/>
        <v>-3.2650859793648124E-10</v>
      </c>
    </row>
    <row r="95" spans="3:25" ht="14.9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ht="14.95" x14ac:dyDescent="0.25">
      <c r="C96" s="3" t="s">
        <v>86</v>
      </c>
    </row>
    <row r="97" spans="3:28" ht="14.95" x14ac:dyDescent="0.25">
      <c r="C97" s="37" t="s">
        <v>74</v>
      </c>
      <c r="D97" s="20"/>
      <c r="E97" s="20"/>
      <c r="F97" s="20">
        <v>0</v>
      </c>
      <c r="G97" s="20">
        <f>F101</f>
        <v>189213.40714203159</v>
      </c>
      <c r="H97" s="20">
        <f t="shared" ref="H97:Y97" si="21">G101</f>
        <v>174120.25546666901</v>
      </c>
      <c r="I97" s="20">
        <f t="shared" si="21"/>
        <v>158704.74524201624</v>
      </c>
      <c r="J97" s="20">
        <f t="shared" si="21"/>
        <v>142952.81622032772</v>
      </c>
      <c r="K97" s="20">
        <f t="shared" si="21"/>
        <v>126847.50352554039</v>
      </c>
      <c r="L97" s="20">
        <f t="shared" si="21"/>
        <v>110373.4772444992</v>
      </c>
      <c r="M97" s="20">
        <f t="shared" si="21"/>
        <v>93514.751919716349</v>
      </c>
      <c r="N97" s="20">
        <f t="shared" si="21"/>
        <v>76252.448782610736</v>
      </c>
      <c r="O97" s="20">
        <f t="shared" si="21"/>
        <v>58569.162645741591</v>
      </c>
      <c r="P97" s="20">
        <f t="shared" si="21"/>
        <v>40446.752119962301</v>
      </c>
      <c r="Q97" s="20">
        <f t="shared" si="21"/>
        <v>36764.959960655338</v>
      </c>
      <c r="R97" s="20">
        <f t="shared" si="21"/>
        <v>33010.101985718058</v>
      </c>
      <c r="S97" s="20">
        <f t="shared" si="21"/>
        <v>29180.118598043027</v>
      </c>
      <c r="T97" s="20">
        <f t="shared" si="21"/>
        <v>25271.863711732422</v>
      </c>
      <c r="U97" s="20">
        <f t="shared" si="21"/>
        <v>21282.040150322711</v>
      </c>
      <c r="V97" s="20">
        <f t="shared" si="21"/>
        <v>17208.10418372713</v>
      </c>
      <c r="W97" s="20">
        <f t="shared" si="21"/>
        <v>13046.448402106893</v>
      </c>
      <c r="X97" s="20">
        <f t="shared" si="21"/>
        <v>8793.2973792730154</v>
      </c>
      <c r="Y97" s="21">
        <f t="shared" si="21"/>
        <v>4445.5705072737846</v>
      </c>
    </row>
    <row r="98" spans="3:28" ht="14.95" x14ac:dyDescent="0.25">
      <c r="C98" s="22" t="s">
        <v>87</v>
      </c>
      <c r="D98" s="23"/>
      <c r="E98" s="23"/>
      <c r="F98" s="23">
        <f>(F9+F11)*-1</f>
        <v>204000</v>
      </c>
      <c r="G98" s="23">
        <f>(G9+G11)*-1</f>
        <v>0</v>
      </c>
      <c r="H98" s="23">
        <f t="shared" ref="H98:Y98" si="22">(H9+H11)*-1</f>
        <v>0</v>
      </c>
      <c r="I98" s="23">
        <f t="shared" si="22"/>
        <v>0</v>
      </c>
      <c r="J98" s="23">
        <f t="shared" si="22"/>
        <v>0</v>
      </c>
      <c r="K98" s="23">
        <f t="shared" si="22"/>
        <v>0</v>
      </c>
      <c r="L98" s="23">
        <f t="shared" si="22"/>
        <v>0</v>
      </c>
      <c r="M98" s="23">
        <f t="shared" si="22"/>
        <v>0</v>
      </c>
      <c r="N98" s="23">
        <f t="shared" si="22"/>
        <v>0</v>
      </c>
      <c r="O98" s="23">
        <f t="shared" si="22"/>
        <v>0</v>
      </c>
      <c r="P98" s="23">
        <f t="shared" si="22"/>
        <v>0</v>
      </c>
      <c r="Q98" s="23">
        <f t="shared" si="22"/>
        <v>0</v>
      </c>
      <c r="R98" s="23">
        <f t="shared" si="22"/>
        <v>0</v>
      </c>
      <c r="S98" s="23">
        <f t="shared" si="22"/>
        <v>0</v>
      </c>
      <c r="T98" s="23">
        <f t="shared" si="22"/>
        <v>0</v>
      </c>
      <c r="U98" s="23">
        <f t="shared" si="22"/>
        <v>0</v>
      </c>
      <c r="V98" s="23">
        <f t="shared" si="22"/>
        <v>0</v>
      </c>
      <c r="W98" s="23">
        <f t="shared" si="22"/>
        <v>0</v>
      </c>
      <c r="X98" s="23">
        <f t="shared" si="22"/>
        <v>0</v>
      </c>
      <c r="Y98" s="26">
        <f t="shared" si="22"/>
        <v>0</v>
      </c>
    </row>
    <row r="99" spans="3:28" ht="14.95"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23">
        <f>(O97+O98)*Assumptions!M18</f>
        <v>2342.7665058296639</v>
      </c>
      <c r="P99" s="23">
        <f>(P97+P98)*Assumptions!N18</f>
        <v>1617.8700847984921</v>
      </c>
      <c r="Q99" s="23">
        <f>(Q97+Q98)*Assumptions!O18</f>
        <v>1470.5983984262136</v>
      </c>
      <c r="R99" s="23">
        <f>(R97+R98)*Assumptions!P18</f>
        <v>1320.4040794287223</v>
      </c>
      <c r="S99" s="23">
        <f>(S97+S98)*Assumptions!Q18</f>
        <v>1167.204743921721</v>
      </c>
      <c r="T99" s="23">
        <f>(T97+T98)*Assumptions!R18</f>
        <v>1010.8745484692969</v>
      </c>
      <c r="U99" s="23">
        <f>(U97+U98)*Assumptions!S18</f>
        <v>851.28160601290847</v>
      </c>
      <c r="V99" s="23">
        <f>(V97+V98)*Assumptions!T18</f>
        <v>688.3241673490852</v>
      </c>
      <c r="W99" s="23">
        <f>(W97+W98)*Assumptions!U18</f>
        <v>521.85793608427571</v>
      </c>
      <c r="X99" s="23">
        <f>(X97+X98)*Assumptions!V18</f>
        <v>351.73189517092061</v>
      </c>
      <c r="Y99" s="26">
        <f>(Y97+Y98)*Assumptions!W18</f>
        <v>177.8228202909514</v>
      </c>
    </row>
    <row r="100" spans="3:28" ht="14.95" x14ac:dyDescent="0.25">
      <c r="C100" s="22" t="s">
        <v>89</v>
      </c>
      <c r="D100" s="23"/>
      <c r="E100" s="23"/>
      <c r="F100" s="23">
        <f>-SUM(F97:F99)*F36/SUM(F36:$Y$36)</f>
        <v>-22946.592857968397</v>
      </c>
      <c r="G100" s="23">
        <f>-SUM(G97:G99)*G36/SUM(G36:$Y$36)</f>
        <v>-22661.687961043859</v>
      </c>
      <c r="H100" s="23">
        <f>-SUM(H97:H99)*H36/SUM(H36:$Y$36)</f>
        <v>-22380.320443319535</v>
      </c>
      <c r="I100" s="23">
        <f>-SUM(I97:I99)*I36/SUM(I36:$Y$36)</f>
        <v>-22100.118831369178</v>
      </c>
      <c r="J100" s="23">
        <f>-SUM(J97:J99)*J36/SUM(J36:$Y$36)</f>
        <v>-21823.425343600433</v>
      </c>
      <c r="K100" s="23">
        <f>-SUM(K97:K99)*K36/SUM(K36:$Y$36)</f>
        <v>-21547.926422062828</v>
      </c>
      <c r="L100" s="23">
        <f>-SUM(L97:L99)*L36/SUM(L36:$Y$36)</f>
        <v>-21273.664414562823</v>
      </c>
      <c r="M100" s="23">
        <f>-SUM(M97:M99)*M36/SUM(M36:$Y$36)</f>
        <v>-21002.893213894266</v>
      </c>
      <c r="N100" s="23">
        <f>-SUM(N97:N99)*N36/SUM(N36:$Y$36)</f>
        <v>-20733.384088173574</v>
      </c>
      <c r="O100" s="23">
        <f>-SUM(O97:O99)*O36/SUM(O36:$Y$36)</f>
        <v>-20465.177031608957</v>
      </c>
      <c r="P100" s="23">
        <f>-SUM(P97:P99)*P36/SUM(P36:$Y$36)</f>
        <v>-5299.6622441054551</v>
      </c>
      <c r="Q100" s="23">
        <f>-SUM(Q97:Q99)*Q36/SUM(Q36:$Y$36)</f>
        <v>-5225.4563733634914</v>
      </c>
      <c r="R100" s="23">
        <f>-SUM(R97:R99)*R36/SUM(R36:$Y$36)</f>
        <v>-5150.3874671037529</v>
      </c>
      <c r="S100" s="23">
        <f>-SUM(S97:S99)*S36/SUM(S36:$Y$36)</f>
        <v>-5075.4596302323262</v>
      </c>
      <c r="T100" s="23">
        <f>-SUM(T97:T99)*T36/SUM(T36:$Y$36)</f>
        <v>-5000.6981098790038</v>
      </c>
      <c r="U100" s="23">
        <f>-SUM(U97:U99)*U36/SUM(U36:$Y$36)</f>
        <v>-4925.2175726084897</v>
      </c>
      <c r="V100" s="23">
        <f>-SUM(V97:V99)*V36/SUM(V36:$Y$36)</f>
        <v>-4849.9799489693223</v>
      </c>
      <c r="W100" s="23">
        <f>-SUM(W97:W99)*W36/SUM(W36:$Y$36)</f>
        <v>-4775.0089589181543</v>
      </c>
      <c r="X100" s="23">
        <f>-SUM(X97:X99)*X36/SUM(X36:$Y$36)</f>
        <v>-4699.4587671701511</v>
      </c>
      <c r="Y100" s="26">
        <f>-SUM(Y97:Y99)*Y36/SUM(Y36:$Y$36)</f>
        <v>-4623.393327564736</v>
      </c>
    </row>
    <row r="101" spans="3:28" ht="14.95" x14ac:dyDescent="0.25">
      <c r="C101" s="39" t="s">
        <v>75</v>
      </c>
      <c r="D101" s="28"/>
      <c r="E101" s="28"/>
      <c r="F101" s="28">
        <f>SUM(F97:F100)</f>
        <v>189213.40714203159</v>
      </c>
      <c r="G101" s="28">
        <f>SUM(G97:G100)</f>
        <v>174120.25546666901</v>
      </c>
      <c r="H101" s="28">
        <f t="shared" ref="H101:Y101" si="23">SUM(H97:H100)</f>
        <v>158704.74524201624</v>
      </c>
      <c r="I101" s="28">
        <f t="shared" si="23"/>
        <v>142952.81622032772</v>
      </c>
      <c r="J101" s="28">
        <f t="shared" si="23"/>
        <v>126847.50352554039</v>
      </c>
      <c r="K101" s="28">
        <f t="shared" si="23"/>
        <v>110373.4772444992</v>
      </c>
      <c r="L101" s="28">
        <f t="shared" si="23"/>
        <v>93514.751919716349</v>
      </c>
      <c r="M101" s="28">
        <f t="shared" si="23"/>
        <v>76252.448782610736</v>
      </c>
      <c r="N101" s="28">
        <f t="shared" si="23"/>
        <v>58569.162645741591</v>
      </c>
      <c r="O101" s="28">
        <f t="shared" si="23"/>
        <v>40446.752119962301</v>
      </c>
      <c r="P101" s="28">
        <f t="shared" si="23"/>
        <v>36764.959960655338</v>
      </c>
      <c r="Q101" s="28">
        <f t="shared" si="23"/>
        <v>33010.101985718058</v>
      </c>
      <c r="R101" s="28">
        <f t="shared" si="23"/>
        <v>29180.118598043027</v>
      </c>
      <c r="S101" s="28">
        <f t="shared" si="23"/>
        <v>25271.863711732422</v>
      </c>
      <c r="T101" s="28">
        <f t="shared" si="23"/>
        <v>21282.040150322711</v>
      </c>
      <c r="U101" s="28">
        <f t="shared" si="23"/>
        <v>17208.10418372713</v>
      </c>
      <c r="V101" s="28">
        <f t="shared" si="23"/>
        <v>13046.448402106893</v>
      </c>
      <c r="W101" s="28">
        <f t="shared" si="23"/>
        <v>8793.2973792730154</v>
      </c>
      <c r="X101" s="28">
        <f t="shared" si="23"/>
        <v>4445.5705072737846</v>
      </c>
      <c r="Y101" s="29">
        <f t="shared" si="23"/>
        <v>0</v>
      </c>
      <c r="Z101" s="23"/>
    </row>
    <row r="103" spans="3:28" ht="14.95" x14ac:dyDescent="0.25">
      <c r="C103" s="3" t="s">
        <v>27</v>
      </c>
      <c r="AB103" s="7" t="s">
        <v>47</v>
      </c>
    </row>
    <row r="104" spans="3:28" ht="14.95" x14ac:dyDescent="0.25">
      <c r="C104" s="19" t="s">
        <v>54</v>
      </c>
      <c r="D104" s="20"/>
      <c r="E104" s="20"/>
      <c r="F104" s="20">
        <f>-F82</f>
        <v>7967.1953946852755</v>
      </c>
      <c r="G104" s="20">
        <f t="shared" ref="G104:Y104" si="24">-G82</f>
        <v>7868.2746966648656</v>
      </c>
      <c r="H104" s="20">
        <f t="shared" si="24"/>
        <v>7770.5821980310729</v>
      </c>
      <c r="I104" s="20">
        <f t="shared" si="24"/>
        <v>7673.2945089117256</v>
      </c>
      <c r="J104" s="20">
        <f t="shared" si="24"/>
        <v>7577.2248616601501</v>
      </c>
      <c r="K104" s="20">
        <f t="shared" si="24"/>
        <v>7481.5699750065542</v>
      </c>
      <c r="L104" s="20">
        <f t="shared" si="24"/>
        <v>7386.3445523646733</v>
      </c>
      <c r="M104" s="20">
        <f t="shared" si="24"/>
        <v>7292.3311589021732</v>
      </c>
      <c r="N104" s="20">
        <f t="shared" si="24"/>
        <v>7198.7559654711413</v>
      </c>
      <c r="O104" s="20">
        <f t="shared" si="24"/>
        <v>7105.6328583018058</v>
      </c>
      <c r="P104" s="20">
        <f t="shared" si="24"/>
        <v>1840.0746849858356</v>
      </c>
      <c r="Q104" s="20">
        <f t="shared" si="24"/>
        <v>1814.309959246664</v>
      </c>
      <c r="R104" s="20">
        <f t="shared" si="24"/>
        <v>1788.2455823721273</v>
      </c>
      <c r="S104" s="20">
        <f t="shared" si="24"/>
        <v>1762.2301856397769</v>
      </c>
      <c r="T104" s="20">
        <f t="shared" si="24"/>
        <v>1736.2725350053033</v>
      </c>
      <c r="U104" s="20">
        <f t="shared" si="24"/>
        <v>1710.0652373619332</v>
      </c>
      <c r="V104" s="20">
        <f t="shared" si="24"/>
        <v>1683.9422807959922</v>
      </c>
      <c r="W104" s="20">
        <f t="shared" si="24"/>
        <v>1657.9119010194477</v>
      </c>
      <c r="X104" s="20">
        <f t="shared" si="24"/>
        <v>1631.6804189215177</v>
      </c>
      <c r="Y104" s="21">
        <f t="shared" si="24"/>
        <v>1605.2700396608541</v>
      </c>
      <c r="Z104" s="23"/>
      <c r="AB104" s="2">
        <f>NPV(0.04,F104:Z104)</f>
        <v>70830.029999481776</v>
      </c>
    </row>
    <row r="105" spans="3:28" ht="14.95" x14ac:dyDescent="0.25">
      <c r="C105" s="22" t="s">
        <v>55</v>
      </c>
      <c r="D105" s="23"/>
      <c r="E105" s="23"/>
      <c r="F105" s="23">
        <f>-F71</f>
        <v>8000</v>
      </c>
      <c r="G105" s="23">
        <f t="shared" ref="G105:Y105" si="25">-G71</f>
        <v>7596.8</v>
      </c>
      <c r="H105" s="23">
        <f t="shared" si="25"/>
        <v>9017.4016000000029</v>
      </c>
      <c r="I105" s="23">
        <f t="shared" si="25"/>
        <v>8562.0228192000013</v>
      </c>
      <c r="J105" s="23">
        <f t="shared" si="25"/>
        <v>9755.5688001964809</v>
      </c>
      <c r="K105" s="23">
        <f t="shared" si="25"/>
        <v>10805.593188724297</v>
      </c>
      <c r="L105" s="23">
        <f t="shared" si="25"/>
        <v>10257.749614055976</v>
      </c>
      <c r="M105" s="23">
        <f t="shared" si="25"/>
        <v>11128.779095569529</v>
      </c>
      <c r="N105" s="23">
        <f t="shared" si="25"/>
        <v>11883.866757203921</v>
      </c>
      <c r="O105" s="23">
        <f t="shared" si="25"/>
        <v>12532.197710291379</v>
      </c>
      <c r="P105" s="23">
        <f t="shared" si="25"/>
        <v>6006.9956674854157</v>
      </c>
      <c r="Q105" s="23">
        <f t="shared" si="25"/>
        <v>6730.5519478969145</v>
      </c>
      <c r="R105" s="23">
        <f t="shared" si="25"/>
        <v>6869.3825251914213</v>
      </c>
      <c r="S105" s="23">
        <f t="shared" si="25"/>
        <v>6974.0179411554964</v>
      </c>
      <c r="T105" s="23">
        <f t="shared" si="25"/>
        <v>7487.9449466024807</v>
      </c>
      <c r="U105" s="23">
        <f t="shared" si="25"/>
        <v>7508.4046550006969</v>
      </c>
      <c r="V105" s="23">
        <f t="shared" si="25"/>
        <v>7504.2958891200433</v>
      </c>
      <c r="W105" s="23">
        <f t="shared" si="25"/>
        <v>7851.9323961835289</v>
      </c>
      <c r="X105" s="23">
        <f t="shared" si="25"/>
        <v>8138.1446795629854</v>
      </c>
      <c r="Y105" s="26">
        <f t="shared" si="25"/>
        <v>7698.4814132495949</v>
      </c>
      <c r="Z105" s="23"/>
      <c r="AB105" s="2">
        <f t="shared" ref="AB105:AB107" si="26">NPV(0.04,F105:Z105)</f>
        <v>118881.96824108734</v>
      </c>
    </row>
    <row r="106" spans="3:28" ht="14.95" x14ac:dyDescent="0.25">
      <c r="C106" s="22" t="s">
        <v>90</v>
      </c>
      <c r="D106" s="23"/>
      <c r="E106" s="23"/>
      <c r="F106" s="23">
        <f t="shared" ref="F106:Y106" si="27">-F15</f>
        <v>80000</v>
      </c>
      <c r="G106" s="23">
        <f t="shared" si="27"/>
        <v>75968</v>
      </c>
      <c r="H106" s="23">
        <f t="shared" si="27"/>
        <v>90174.016000000018</v>
      </c>
      <c r="I106" s="23">
        <f t="shared" si="27"/>
        <v>85620.22819200001</v>
      </c>
      <c r="J106" s="23">
        <f t="shared" si="27"/>
        <v>97555.688001964809</v>
      </c>
      <c r="K106" s="23">
        <f t="shared" si="27"/>
        <v>108055.93188724296</v>
      </c>
      <c r="L106" s="23">
        <f t="shared" si="27"/>
        <v>102577.49614055976</v>
      </c>
      <c r="M106" s="23">
        <f t="shared" si="27"/>
        <v>111287.79095569528</v>
      </c>
      <c r="N106" s="23">
        <f t="shared" si="27"/>
        <v>118838.66757203921</v>
      </c>
      <c r="O106" s="23">
        <f t="shared" si="27"/>
        <v>125321.97710291378</v>
      </c>
      <c r="P106" s="23">
        <f t="shared" si="27"/>
        <v>60069.956674854155</v>
      </c>
      <c r="Q106" s="23">
        <f t="shared" si="27"/>
        <v>67305.519478969145</v>
      </c>
      <c r="R106" s="23">
        <f t="shared" si="27"/>
        <v>68693.825251914212</v>
      </c>
      <c r="S106" s="23">
        <f t="shared" si="27"/>
        <v>69740.179411554956</v>
      </c>
      <c r="T106" s="23">
        <f t="shared" si="27"/>
        <v>74879.449466024802</v>
      </c>
      <c r="U106" s="23">
        <f t="shared" si="27"/>
        <v>75084.046550006969</v>
      </c>
      <c r="V106" s="23">
        <f t="shared" si="27"/>
        <v>75042.958891200426</v>
      </c>
      <c r="W106" s="23">
        <f t="shared" si="27"/>
        <v>78519.323961835282</v>
      </c>
      <c r="X106" s="23">
        <f t="shared" si="27"/>
        <v>81381.446795629847</v>
      </c>
      <c r="Y106" s="26">
        <f t="shared" si="27"/>
        <v>76984.814132495943</v>
      </c>
      <c r="Z106" s="23"/>
      <c r="AB106" s="2">
        <f t="shared" si="26"/>
        <v>1188819.6824108735</v>
      </c>
    </row>
    <row r="107" spans="3:28" ht="14.95" x14ac:dyDescent="0.25">
      <c r="C107" s="22" t="s">
        <v>57</v>
      </c>
      <c r="D107" s="23"/>
      <c r="E107" s="23"/>
      <c r="F107" s="23">
        <f t="shared" ref="F107:Y107" si="28">-F10-F12</f>
        <v>30000</v>
      </c>
      <c r="G107" s="23">
        <f t="shared" si="28"/>
        <v>38221.4</v>
      </c>
      <c r="H107" s="23">
        <f t="shared" si="28"/>
        <v>36295.041440000001</v>
      </c>
      <c r="I107" s="23">
        <f t="shared" si="28"/>
        <v>34462.141847280007</v>
      </c>
      <c r="J107" s="23">
        <f t="shared" si="28"/>
        <v>32721.803683992362</v>
      </c>
      <c r="K107" s="23">
        <f t="shared" si="28"/>
        <v>31066.08041758235</v>
      </c>
      <c r="L107" s="23">
        <f t="shared" si="28"/>
        <v>29491.030140410927</v>
      </c>
      <c r="M107" s="23">
        <f t="shared" si="28"/>
        <v>27995.834912292092</v>
      </c>
      <c r="N107" s="23">
        <f t="shared" si="28"/>
        <v>26573.646498747654</v>
      </c>
      <c r="O107" s="23">
        <f t="shared" si="28"/>
        <v>25221.0478919614</v>
      </c>
      <c r="P107" s="23">
        <f t="shared" si="28"/>
        <v>9868.635739440324</v>
      </c>
      <c r="Q107" s="23">
        <f t="shared" si="28"/>
        <v>9356.2068286698868</v>
      </c>
      <c r="R107" s="23">
        <f t="shared" si="28"/>
        <v>8867.1111167011695</v>
      </c>
      <c r="S107" s="23">
        <f t="shared" si="28"/>
        <v>8402.0311386301928</v>
      </c>
      <c r="T107" s="23">
        <f t="shared" si="28"/>
        <v>7959.8742499597793</v>
      </c>
      <c r="U107" s="23">
        <f t="shared" si="28"/>
        <v>7538.1999115681592</v>
      </c>
      <c r="V107" s="23">
        <f t="shared" si="28"/>
        <v>7137.5445862683118</v>
      </c>
      <c r="W107" s="23">
        <f t="shared" si="28"/>
        <v>6756.9350212055542</v>
      </c>
      <c r="X107" s="23">
        <f t="shared" si="28"/>
        <v>6394.2565339423454</v>
      </c>
      <c r="Y107" s="26">
        <f t="shared" si="28"/>
        <v>6048.8068246961102</v>
      </c>
      <c r="Z107" s="23"/>
      <c r="AB107" s="2">
        <f t="shared" si="26"/>
        <v>299602.63018187706</v>
      </c>
    </row>
    <row r="108" spans="3:28" ht="14.95" x14ac:dyDescent="0.25">
      <c r="C108" s="22" t="s">
        <v>56</v>
      </c>
      <c r="D108" s="23"/>
      <c r="E108" s="23"/>
      <c r="F108" s="23">
        <f>-F100</f>
        <v>22946.592857968397</v>
      </c>
      <c r="G108" s="23">
        <f t="shared" ref="G108:Y108" si="29">-G100</f>
        <v>22661.687961043859</v>
      </c>
      <c r="H108" s="23">
        <f t="shared" si="29"/>
        <v>22380.320443319535</v>
      </c>
      <c r="I108" s="23">
        <f t="shared" si="29"/>
        <v>22100.118831369178</v>
      </c>
      <c r="J108" s="23">
        <f t="shared" si="29"/>
        <v>21823.425343600433</v>
      </c>
      <c r="K108" s="23">
        <f t="shared" si="29"/>
        <v>21547.926422062828</v>
      </c>
      <c r="L108" s="23">
        <f t="shared" si="29"/>
        <v>21273.664414562823</v>
      </c>
      <c r="M108" s="23">
        <f t="shared" si="29"/>
        <v>21002.893213894266</v>
      </c>
      <c r="N108" s="23">
        <f t="shared" si="29"/>
        <v>20733.384088173574</v>
      </c>
      <c r="O108" s="23">
        <f t="shared" si="29"/>
        <v>20465.177031608957</v>
      </c>
      <c r="P108" s="23">
        <f t="shared" si="29"/>
        <v>5299.6622441054551</v>
      </c>
      <c r="Q108" s="23">
        <f t="shared" si="29"/>
        <v>5225.4563733634914</v>
      </c>
      <c r="R108" s="23">
        <f t="shared" si="29"/>
        <v>5150.3874671037529</v>
      </c>
      <c r="S108" s="23">
        <f t="shared" si="29"/>
        <v>5075.4596302323262</v>
      </c>
      <c r="T108" s="23">
        <f t="shared" si="29"/>
        <v>5000.6981098790038</v>
      </c>
      <c r="U108" s="23">
        <f t="shared" si="29"/>
        <v>4925.2175726084897</v>
      </c>
      <c r="V108" s="23">
        <f t="shared" si="29"/>
        <v>4849.9799489693223</v>
      </c>
      <c r="W108" s="23">
        <f t="shared" si="29"/>
        <v>4775.0089589181543</v>
      </c>
      <c r="X108" s="23">
        <f t="shared" si="29"/>
        <v>4699.4587671701511</v>
      </c>
      <c r="Y108" s="26">
        <f t="shared" si="29"/>
        <v>4623.393327564736</v>
      </c>
      <c r="Z108" s="23"/>
      <c r="AB108" s="2">
        <f>NPV(0.04,F108:Z108)</f>
        <v>203999.99999999997</v>
      </c>
    </row>
    <row r="109" spans="3:28" ht="14.95" x14ac:dyDescent="0.25">
      <c r="C109" s="57" t="s">
        <v>28</v>
      </c>
      <c r="D109" s="23"/>
      <c r="E109" s="23"/>
      <c r="F109" s="52">
        <f>SUM(F104:F108)</f>
        <v>148913.78825265367</v>
      </c>
      <c r="G109" s="52">
        <f t="shared" ref="G109:Y109" si="30">SUM(G104:G108)</f>
        <v>152316.16265770872</v>
      </c>
      <c r="H109" s="52">
        <f t="shared" si="30"/>
        <v>165637.36168135062</v>
      </c>
      <c r="I109" s="52">
        <f t="shared" si="30"/>
        <v>158417.80619876093</v>
      </c>
      <c r="J109" s="52">
        <f t="shared" si="30"/>
        <v>169433.71069141422</v>
      </c>
      <c r="K109" s="52">
        <f t="shared" si="30"/>
        <v>178957.101890619</v>
      </c>
      <c r="L109" s="52">
        <f t="shared" si="30"/>
        <v>170986.28486195416</v>
      </c>
      <c r="M109" s="52">
        <f t="shared" si="30"/>
        <v>178707.62933635333</v>
      </c>
      <c r="N109" s="52">
        <f t="shared" si="30"/>
        <v>185228.3208816355</v>
      </c>
      <c r="O109" s="52">
        <f t="shared" si="30"/>
        <v>190646.03259507733</v>
      </c>
      <c r="P109" s="52">
        <f t="shared" si="30"/>
        <v>83085.325010871195</v>
      </c>
      <c r="Q109" s="52">
        <f t="shared" si="30"/>
        <v>90432.044588146106</v>
      </c>
      <c r="R109" s="52">
        <f t="shared" si="30"/>
        <v>91368.951943282678</v>
      </c>
      <c r="S109" s="52">
        <f t="shared" si="30"/>
        <v>91953.918307212734</v>
      </c>
      <c r="T109" s="52">
        <f t="shared" si="30"/>
        <v>97064.239307471362</v>
      </c>
      <c r="U109" s="52">
        <f t="shared" si="30"/>
        <v>96765.933926546248</v>
      </c>
      <c r="V109" s="52">
        <f t="shared" si="30"/>
        <v>96218.721596354095</v>
      </c>
      <c r="W109" s="52">
        <f t="shared" si="30"/>
        <v>99561.112239161972</v>
      </c>
      <c r="X109" s="52">
        <f t="shared" si="30"/>
        <v>102244.98719522684</v>
      </c>
      <c r="Y109" s="59">
        <f t="shared" si="30"/>
        <v>96960.765737667243</v>
      </c>
      <c r="Z109" s="23"/>
      <c r="AB109" s="52">
        <f>SUM(AB104:AB108)</f>
        <v>1882134.3108333196</v>
      </c>
    </row>
    <row r="110" spans="3:28" ht="14.95"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ht="14.95" x14ac:dyDescent="0.25">
      <c r="C111" s="22" t="s">
        <v>58</v>
      </c>
      <c r="D111" s="23"/>
      <c r="E111" s="23"/>
      <c r="F111" s="23">
        <f t="shared" ref="F111:Y111" si="31">F26</f>
        <v>-80000</v>
      </c>
      <c r="G111" s="23">
        <f t="shared" si="31"/>
        <v>-75968</v>
      </c>
      <c r="H111" s="23">
        <f t="shared" si="31"/>
        <v>-90174.016000000018</v>
      </c>
      <c r="I111" s="23">
        <f t="shared" si="31"/>
        <v>-85620.22819200001</v>
      </c>
      <c r="J111" s="23">
        <f t="shared" si="31"/>
        <v>-97555.688001964809</v>
      </c>
      <c r="K111" s="23">
        <f t="shared" si="31"/>
        <v>-108055.93188724296</v>
      </c>
      <c r="L111" s="23">
        <f t="shared" si="31"/>
        <v>-102577.49614055976</v>
      </c>
      <c r="M111" s="23">
        <f t="shared" si="31"/>
        <v>-111287.79095569528</v>
      </c>
      <c r="N111" s="23">
        <f t="shared" si="31"/>
        <v>-118838.66757203921</v>
      </c>
      <c r="O111" s="23">
        <f t="shared" si="31"/>
        <v>-125321.97710291378</v>
      </c>
      <c r="P111" s="23">
        <f t="shared" si="31"/>
        <v>-60069.956674854155</v>
      </c>
      <c r="Q111" s="23">
        <f t="shared" si="31"/>
        <v>-67305.519478969145</v>
      </c>
      <c r="R111" s="23">
        <f t="shared" si="31"/>
        <v>-68693.825251914212</v>
      </c>
      <c r="S111" s="23">
        <f t="shared" si="31"/>
        <v>-69740.179411554956</v>
      </c>
      <c r="T111" s="23">
        <f t="shared" si="31"/>
        <v>-74879.449466024802</v>
      </c>
      <c r="U111" s="23">
        <f t="shared" si="31"/>
        <v>-75084.046550006969</v>
      </c>
      <c r="V111" s="23">
        <f t="shared" si="31"/>
        <v>-75042.958891200426</v>
      </c>
      <c r="W111" s="23">
        <f t="shared" si="31"/>
        <v>-78519.323961835282</v>
      </c>
      <c r="X111" s="23">
        <f t="shared" si="31"/>
        <v>-81381.446795629847</v>
      </c>
      <c r="Y111" s="26">
        <f t="shared" si="31"/>
        <v>-76984.814132495943</v>
      </c>
      <c r="Z111" s="23"/>
      <c r="AB111" s="6">
        <f t="shared" ref="AB111:AB119" si="32">NPV(0.04,F111:Z111)</f>
        <v>-1188819.6824108735</v>
      </c>
    </row>
    <row r="112" spans="3:28" ht="14.95" x14ac:dyDescent="0.25">
      <c r="C112" s="22" t="s">
        <v>59</v>
      </c>
      <c r="D112" s="23"/>
      <c r="E112" s="23"/>
      <c r="F112" s="23">
        <f t="shared" ref="F112:Y112" si="33">F21+F23</f>
        <v>-30000</v>
      </c>
      <c r="G112" s="23">
        <f t="shared" si="33"/>
        <v>-38221.4</v>
      </c>
      <c r="H112" s="41">
        <f t="shared" si="33"/>
        <v>-40803.74224</v>
      </c>
      <c r="I112" s="41">
        <f t="shared" si="33"/>
        <v>-38743.153256880003</v>
      </c>
      <c r="J112" s="41">
        <f t="shared" si="33"/>
        <v>-36786.624017407565</v>
      </c>
      <c r="K112" s="41">
        <f t="shared" si="33"/>
        <v>-34925.220842126742</v>
      </c>
      <c r="L112" s="41">
        <f t="shared" si="33"/>
        <v>-33154.512145430919</v>
      </c>
      <c r="M112" s="41">
        <f t="shared" si="33"/>
        <v>-31473.578379657571</v>
      </c>
      <c r="N112" s="41">
        <f t="shared" si="33"/>
        <v>-29874.720597970965</v>
      </c>
      <c r="O112" s="41">
        <f t="shared" si="33"/>
        <v>-28354.097319534241</v>
      </c>
      <c r="P112" s="41">
        <f t="shared" si="33"/>
        <v>-10648.765046905963</v>
      </c>
      <c r="Q112" s="41">
        <f t="shared" si="33"/>
        <v>-10095.827921845372</v>
      </c>
      <c r="R112" s="41">
        <f t="shared" si="33"/>
        <v>-9568.0685172309059</v>
      </c>
      <c r="S112" s="41">
        <f t="shared" si="33"/>
        <v>-9066.2233235021449</v>
      </c>
      <c r="T112" s="41">
        <f t="shared" si="33"/>
        <v>-8589.1133211028464</v>
      </c>
      <c r="U112" s="41">
        <f t="shared" si="33"/>
        <v>-8134.1050429174211</v>
      </c>
      <c r="V112" s="41">
        <f t="shared" si="33"/>
        <v>-7701.7773598863605</v>
      </c>
      <c r="W112" s="41">
        <f t="shared" si="33"/>
        <v>-7291.0800821704197</v>
      </c>
      <c r="X112" s="41">
        <f t="shared" si="33"/>
        <v>-6899.7313587599219</v>
      </c>
      <c r="Y112" s="45">
        <f t="shared" si="33"/>
        <v>-6526.973372102917</v>
      </c>
      <c r="Z112" s="23"/>
      <c r="AB112" s="6">
        <f t="shared" si="32"/>
        <v>-326874.44725273445</v>
      </c>
    </row>
    <row r="113" spans="2:30" ht="14.95" x14ac:dyDescent="0.25">
      <c r="C113" s="22" t="s">
        <v>60</v>
      </c>
      <c r="D113" s="23"/>
      <c r="E113" s="23"/>
      <c r="F113" s="23">
        <f>F100</f>
        <v>-22946.592857968397</v>
      </c>
      <c r="G113" s="23">
        <f t="shared" ref="G113:Y113" si="34">G100</f>
        <v>-22661.687961043859</v>
      </c>
      <c r="H113" s="23">
        <f t="shared" si="34"/>
        <v>-22380.320443319535</v>
      </c>
      <c r="I113" s="23">
        <f t="shared" si="34"/>
        <v>-22100.118831369178</v>
      </c>
      <c r="J113" s="23">
        <f t="shared" si="34"/>
        <v>-21823.425343600433</v>
      </c>
      <c r="K113" s="23">
        <f t="shared" si="34"/>
        <v>-21547.926422062828</v>
      </c>
      <c r="L113" s="23">
        <f t="shared" si="34"/>
        <v>-21273.664414562823</v>
      </c>
      <c r="M113" s="23">
        <f t="shared" si="34"/>
        <v>-21002.893213894266</v>
      </c>
      <c r="N113" s="23">
        <f t="shared" si="34"/>
        <v>-20733.384088173574</v>
      </c>
      <c r="O113" s="23">
        <f t="shared" si="34"/>
        <v>-20465.177031608957</v>
      </c>
      <c r="P113" s="23">
        <f t="shared" si="34"/>
        <v>-5299.6622441054551</v>
      </c>
      <c r="Q113" s="23">
        <f t="shared" si="34"/>
        <v>-5225.4563733634914</v>
      </c>
      <c r="R113" s="23">
        <f t="shared" si="34"/>
        <v>-5150.3874671037529</v>
      </c>
      <c r="S113" s="23">
        <f t="shared" si="34"/>
        <v>-5075.4596302323262</v>
      </c>
      <c r="T113" s="23">
        <f t="shared" si="34"/>
        <v>-5000.6981098790038</v>
      </c>
      <c r="U113" s="23">
        <f t="shared" si="34"/>
        <v>-4925.2175726084897</v>
      </c>
      <c r="V113" s="23">
        <f t="shared" si="34"/>
        <v>-4849.9799489693223</v>
      </c>
      <c r="W113" s="23">
        <f t="shared" si="34"/>
        <v>-4775.0089589181543</v>
      </c>
      <c r="X113" s="23">
        <f t="shared" si="34"/>
        <v>-4699.4587671701511</v>
      </c>
      <c r="Y113" s="26">
        <f t="shared" si="34"/>
        <v>-4623.393327564736</v>
      </c>
      <c r="Z113" s="23"/>
      <c r="AB113" s="6">
        <f t="shared" si="32"/>
        <v>-203999.99999999997</v>
      </c>
    </row>
    <row r="114" spans="2:30" ht="14.95" x14ac:dyDescent="0.25">
      <c r="C114" s="57" t="s">
        <v>29</v>
      </c>
      <c r="D114" s="23"/>
      <c r="E114" s="23"/>
      <c r="F114" s="52">
        <f>SUM(F111:F113)</f>
        <v>-132946.59285796841</v>
      </c>
      <c r="G114" s="52">
        <f t="shared" ref="G114:Y114" si="35">SUM(G111:G113)</f>
        <v>-136851.08796104384</v>
      </c>
      <c r="H114" s="62">
        <f t="shared" si="35"/>
        <v>-153358.07868331956</v>
      </c>
      <c r="I114" s="62">
        <f t="shared" si="35"/>
        <v>-146463.50028024919</v>
      </c>
      <c r="J114" s="62">
        <f t="shared" si="35"/>
        <v>-156165.73736297278</v>
      </c>
      <c r="K114" s="62">
        <f t="shared" si="35"/>
        <v>-164529.07915143252</v>
      </c>
      <c r="L114" s="62">
        <f t="shared" si="35"/>
        <v>-157005.67270055349</v>
      </c>
      <c r="M114" s="62">
        <f t="shared" si="35"/>
        <v>-163764.26254924713</v>
      </c>
      <c r="N114" s="62">
        <f t="shared" si="35"/>
        <v>-169446.77225818374</v>
      </c>
      <c r="O114" s="62">
        <f t="shared" si="35"/>
        <v>-174141.251454057</v>
      </c>
      <c r="P114" s="62">
        <f t="shared" si="35"/>
        <v>-76018.383965865563</v>
      </c>
      <c r="Q114" s="62">
        <f t="shared" si="35"/>
        <v>-82626.803774177999</v>
      </c>
      <c r="R114" s="62">
        <f t="shared" si="35"/>
        <v>-83412.281236248862</v>
      </c>
      <c r="S114" s="62">
        <f t="shared" si="35"/>
        <v>-83881.862365289417</v>
      </c>
      <c r="T114" s="62">
        <f t="shared" si="35"/>
        <v>-88469.26089700665</v>
      </c>
      <c r="U114" s="62">
        <f t="shared" si="35"/>
        <v>-88143.369165532873</v>
      </c>
      <c r="V114" s="62">
        <f t="shared" si="35"/>
        <v>-87594.716200056107</v>
      </c>
      <c r="W114" s="62">
        <f t="shared" si="35"/>
        <v>-90585.413002923859</v>
      </c>
      <c r="X114" s="62">
        <f t="shared" si="35"/>
        <v>-92980.636921559912</v>
      </c>
      <c r="Y114" s="64">
        <f t="shared" si="35"/>
        <v>-88135.180832163605</v>
      </c>
      <c r="Z114" s="23"/>
      <c r="AB114" s="52">
        <f>SUM(AB111:AB113)</f>
        <v>-1719694.129663608</v>
      </c>
    </row>
    <row r="115" spans="2:30" ht="14.95"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ht="14.95" x14ac:dyDescent="0.25">
      <c r="C116" s="57" t="s">
        <v>30</v>
      </c>
      <c r="D116" s="23"/>
      <c r="E116" s="23"/>
      <c r="F116" s="52">
        <f t="shared" ref="F116:Y116" si="36">F24+F25</f>
        <v>-80000</v>
      </c>
      <c r="G116" s="52">
        <f t="shared" si="36"/>
        <v>-18992</v>
      </c>
      <c r="H116" s="52">
        <f t="shared" si="36"/>
        <v>-18034.803200000002</v>
      </c>
      <c r="I116" s="52">
        <f t="shared" si="36"/>
        <v>-17124.045638400003</v>
      </c>
      <c r="J116" s="52">
        <f t="shared" si="36"/>
        <v>-16259.281333660801</v>
      </c>
      <c r="K116" s="52">
        <f t="shared" si="36"/>
        <v>-15436.561698177566</v>
      </c>
      <c r="L116" s="52">
        <f t="shared" si="36"/>
        <v>-14653.928020079964</v>
      </c>
      <c r="M116" s="52">
        <f t="shared" si="36"/>
        <v>-13910.973869461908</v>
      </c>
      <c r="N116" s="52">
        <f t="shared" si="36"/>
        <v>-13204.296396893244</v>
      </c>
      <c r="O116" s="52">
        <f t="shared" si="36"/>
        <v>-12532.197710291377</v>
      </c>
      <c r="P116" s="52">
        <f t="shared" si="36"/>
        <v>-3120.517229862553</v>
      </c>
      <c r="Q116" s="52">
        <f t="shared" si="36"/>
        <v>-2958.4843727019406</v>
      </c>
      <c r="R116" s="52">
        <f t="shared" si="36"/>
        <v>-2803.8296021189467</v>
      </c>
      <c r="S116" s="52">
        <f t="shared" si="36"/>
        <v>-2656.7687394878076</v>
      </c>
      <c r="T116" s="52">
        <f t="shared" si="36"/>
        <v>-2516.9562845722621</v>
      </c>
      <c r="U116" s="52">
        <f t="shared" si="36"/>
        <v>-2383.6205253970465</v>
      </c>
      <c r="V116" s="52">
        <f t="shared" si="36"/>
        <v>-2256.9310944721933</v>
      </c>
      <c r="W116" s="52">
        <f t="shared" si="36"/>
        <v>-2136.5802438594637</v>
      </c>
      <c r="X116" s="52">
        <f t="shared" si="36"/>
        <v>-2021.8992992703068</v>
      </c>
      <c r="Y116" s="59">
        <f t="shared" si="36"/>
        <v>-1912.6661896272285</v>
      </c>
      <c r="Z116" s="23"/>
      <c r="AB116" s="3">
        <f>NPV(0.04,F25:Y25)+F24</f>
        <v>-205877.20911183197</v>
      </c>
    </row>
    <row r="117" spans="2:30" ht="14.95"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ht="14.95"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23">
        <f>SUM(K86:K87)*Assumptions!I19+SUM(K8:K11)*Assumptions!I19</f>
        <v>9508.4847071256372</v>
      </c>
      <c r="L118" s="23">
        <f>SUM(L86:L87)*Assumptions!J19+SUM(L8:L11)*Assumptions!J19</f>
        <v>9582.5849877886467</v>
      </c>
      <c r="M118" s="23">
        <f>SUM(M86:M87)*Assumptions!K19+SUM(M8:M11)*Assumptions!K19</f>
        <v>9662.3915445555158</v>
      </c>
      <c r="N118" s="23">
        <f>SUM(N86:N87)*Assumptions!L19+SUM(N8:N11)*Assumptions!L19</f>
        <v>9058.9535431052027</v>
      </c>
      <c r="O118" s="23">
        <f>SUM(O86:O87)*Assumptions!M19+SUM(O8:O11)*Assumptions!M19</f>
        <v>7815.0159989552776</v>
      </c>
      <c r="P118" s="23">
        <f>SUM(P86:P87)*Assumptions!N19+SUM(P8:P11)*Assumptions!N19</f>
        <v>5194.1221581737591</v>
      </c>
      <c r="Q118" s="23">
        <f>SUM(Q86:Q87)*Assumptions!O19+SUM(Q8:Q11)*Assumptions!O19</f>
        <v>6340.286545777858</v>
      </c>
      <c r="R118" s="23">
        <f>SUM(R86:R87)*Assumptions!P19+SUM(R8:R11)*Assumptions!P19</f>
        <v>6966.4016901384693</v>
      </c>
      <c r="S118" s="23">
        <f>SUM(S86:S87)*Assumptions!Q19+SUM(S8:S11)*Assumptions!Q19</f>
        <v>7351.4145735601796</v>
      </c>
      <c r="T118" s="23">
        <f>SUM(T86:T87)*Assumptions!R19+SUM(T8:T11)*Assumptions!R19</f>
        <v>7512.3960761130857</v>
      </c>
      <c r="U118" s="23">
        <f>SUM(U86:U87)*Assumptions!S19+SUM(U8:U11)*Assumptions!S19</f>
        <v>7246.4999578745783</v>
      </c>
      <c r="V118" s="23">
        <f>SUM(V86:V87)*Assumptions!T19+SUM(V8:V11)*Assumptions!T19</f>
        <v>6789.9388234174476</v>
      </c>
      <c r="W118" s="23">
        <f>SUM(W86:W87)*Assumptions!U19+SUM(W8:W11)*Assumptions!U19</f>
        <v>6155.8049401080189</v>
      </c>
      <c r="X118" s="23">
        <f>SUM(X86:X87)*Assumptions!V19+SUM(X8:X11)*Assumptions!V19</f>
        <v>5170.5088848016403</v>
      </c>
      <c r="Y118" s="26">
        <f>SUM(Y86:Y87)*Assumptions!W19+SUM(Y8:Y11)*Assumptions!W19</f>
        <v>3857.7792491760679</v>
      </c>
      <c r="Z118" s="23"/>
      <c r="AB118" s="6">
        <f t="shared" si="32"/>
        <v>88414.234404427771</v>
      </c>
    </row>
    <row r="119" spans="2:30" ht="14.95" x14ac:dyDescent="0.25">
      <c r="C119" s="38" t="s">
        <v>32</v>
      </c>
      <c r="D119" s="23"/>
      <c r="E119" s="23"/>
      <c r="F119" s="23">
        <f>-F91</f>
        <v>-40</v>
      </c>
      <c r="G119" s="23">
        <f t="shared" ref="G119:Y119" si="37">-G91</f>
        <v>-2400.2961842125878</v>
      </c>
      <c r="H119" s="23">
        <f t="shared" si="37"/>
        <v>-4724.0208901144979</v>
      </c>
      <c r="I119" s="23">
        <f t="shared" si="37"/>
        <v>-6222.2293179546359</v>
      </c>
      <c r="J119" s="23">
        <f t="shared" si="37"/>
        <v>-7702.4440110252353</v>
      </c>
      <c r="K119" s="23">
        <f t="shared" si="37"/>
        <v>-8451.986406333901</v>
      </c>
      <c r="L119" s="23">
        <f t="shared" si="37"/>
        <v>-8517.8533224787971</v>
      </c>
      <c r="M119" s="23">
        <f t="shared" si="37"/>
        <v>-8588.7924840493488</v>
      </c>
      <c r="N119" s="23">
        <f t="shared" si="37"/>
        <v>-8052.4031494268474</v>
      </c>
      <c r="O119" s="23">
        <f t="shared" si="37"/>
        <v>-6946.6808879602468</v>
      </c>
      <c r="P119" s="23">
        <f t="shared" si="37"/>
        <v>-4616.9974739322315</v>
      </c>
      <c r="Q119" s="23">
        <f t="shared" si="37"/>
        <v>-5635.810262913652</v>
      </c>
      <c r="R119" s="23">
        <f t="shared" si="37"/>
        <v>-6192.3570579008619</v>
      </c>
      <c r="S119" s="23">
        <f t="shared" si="37"/>
        <v>-6534.5907320534943</v>
      </c>
      <c r="T119" s="23">
        <f t="shared" si="37"/>
        <v>-6677.6854009894105</v>
      </c>
      <c r="U119" s="23">
        <f t="shared" si="37"/>
        <v>-6441.3332958885139</v>
      </c>
      <c r="V119" s="23">
        <f t="shared" si="37"/>
        <v>-6035.5011763710654</v>
      </c>
      <c r="W119" s="23">
        <f t="shared" si="37"/>
        <v>-5471.826613429349</v>
      </c>
      <c r="X119" s="23">
        <f t="shared" si="37"/>
        <v>-4596.0078976014584</v>
      </c>
      <c r="Y119" s="26">
        <f t="shared" si="37"/>
        <v>-3429.1371103787278</v>
      </c>
      <c r="Z119" s="23"/>
      <c r="AB119" s="6">
        <f t="shared" si="32"/>
        <v>-78590.43058171359</v>
      </c>
    </row>
    <row r="120" spans="2:30" ht="14.95" x14ac:dyDescent="0.25">
      <c r="C120" s="57" t="s">
        <v>61</v>
      </c>
      <c r="D120" s="23"/>
      <c r="E120" s="23"/>
      <c r="F120" s="52">
        <f>SUM(F118:F119)</f>
        <v>5</v>
      </c>
      <c r="G120" s="52">
        <f t="shared" ref="G120:Y120" si="38">SUM(G118:G119)</f>
        <v>300.0370230265753</v>
      </c>
      <c r="H120" s="52">
        <f t="shared" si="38"/>
        <v>590.50261126431178</v>
      </c>
      <c r="I120" s="52">
        <f t="shared" si="38"/>
        <v>777.77866474432903</v>
      </c>
      <c r="J120" s="52">
        <f t="shared" si="38"/>
        <v>962.80550137815317</v>
      </c>
      <c r="K120" s="52">
        <f t="shared" si="38"/>
        <v>1056.4983007917363</v>
      </c>
      <c r="L120" s="52">
        <f t="shared" si="38"/>
        <v>1064.7316653098496</v>
      </c>
      <c r="M120" s="52">
        <f t="shared" si="38"/>
        <v>1073.599060506167</v>
      </c>
      <c r="N120" s="52">
        <f t="shared" si="38"/>
        <v>1006.5503936783552</v>
      </c>
      <c r="O120" s="52">
        <f t="shared" si="38"/>
        <v>868.33511099503085</v>
      </c>
      <c r="P120" s="52">
        <f t="shared" si="38"/>
        <v>577.12468424152758</v>
      </c>
      <c r="Q120" s="52">
        <f t="shared" si="38"/>
        <v>704.47628286420604</v>
      </c>
      <c r="R120" s="52">
        <f t="shared" si="38"/>
        <v>774.0446322376074</v>
      </c>
      <c r="S120" s="52">
        <f t="shared" si="38"/>
        <v>816.82384150668531</v>
      </c>
      <c r="T120" s="52">
        <f t="shared" si="38"/>
        <v>834.71067512367517</v>
      </c>
      <c r="U120" s="52">
        <f t="shared" si="38"/>
        <v>805.16666198606436</v>
      </c>
      <c r="V120" s="52">
        <f t="shared" si="38"/>
        <v>754.43764704638215</v>
      </c>
      <c r="W120" s="52">
        <f t="shared" si="38"/>
        <v>683.97832667866987</v>
      </c>
      <c r="X120" s="52">
        <f t="shared" si="38"/>
        <v>574.50098720018195</v>
      </c>
      <c r="Y120" s="59">
        <f t="shared" si="38"/>
        <v>428.64213879734007</v>
      </c>
      <c r="Z120" s="23"/>
      <c r="AB120" s="52">
        <f>SUM(AB118:AB119)</f>
        <v>9823.8038227141806</v>
      </c>
      <c r="AC120" s="7"/>
      <c r="AD120" s="7"/>
    </row>
    <row r="121" spans="2:30" ht="14.95"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ht="14.95" x14ac:dyDescent="0.25">
      <c r="C122" s="58" t="s">
        <v>96</v>
      </c>
      <c r="D122" s="28"/>
      <c r="E122" s="28"/>
      <c r="F122" s="60">
        <f t="shared" ref="F122:Y122" si="39">F109+F114+F116+F120</f>
        <v>-64027.804605314741</v>
      </c>
      <c r="G122" s="60">
        <f>G109+G114+G116+G120</f>
        <v>-3226.8882803085517</v>
      </c>
      <c r="H122" s="63">
        <f t="shared" si="39"/>
        <v>-5165.0175907046269</v>
      </c>
      <c r="I122" s="63">
        <f t="shared" si="39"/>
        <v>-4391.9610551439428</v>
      </c>
      <c r="J122" s="63">
        <f t="shared" si="39"/>
        <v>-2028.5025038412086</v>
      </c>
      <c r="K122" s="63">
        <f t="shared" si="39"/>
        <v>47.959341800646143</v>
      </c>
      <c r="L122" s="63">
        <f t="shared" si="39"/>
        <v>391.41580663055538</v>
      </c>
      <c r="M122" s="63">
        <f t="shared" si="39"/>
        <v>2105.991978150465</v>
      </c>
      <c r="N122" s="63">
        <f t="shared" si="39"/>
        <v>3583.802620236871</v>
      </c>
      <c r="O122" s="63">
        <f t="shared" si="39"/>
        <v>4840.9185417239823</v>
      </c>
      <c r="P122" s="63">
        <f t="shared" si="39"/>
        <v>4523.5484993846057</v>
      </c>
      <c r="Q122" s="63">
        <f t="shared" si="39"/>
        <v>5551.2327241303719</v>
      </c>
      <c r="R122" s="63">
        <f t="shared" si="39"/>
        <v>5926.8857371524764</v>
      </c>
      <c r="S122" s="63">
        <f t="shared" si="39"/>
        <v>6232.1110439421955</v>
      </c>
      <c r="T122" s="63">
        <f t="shared" si="39"/>
        <v>6912.7328010161245</v>
      </c>
      <c r="U122" s="63">
        <f t="shared" si="39"/>
        <v>7044.1108976023925</v>
      </c>
      <c r="V122" s="63">
        <f t="shared" si="39"/>
        <v>7121.5119488721766</v>
      </c>
      <c r="W122" s="63">
        <f t="shared" si="39"/>
        <v>7523.0973190573195</v>
      </c>
      <c r="X122" s="63">
        <f t="shared" si="39"/>
        <v>7816.9519615968075</v>
      </c>
      <c r="Y122" s="65">
        <f t="shared" si="39"/>
        <v>7341.5608546737494</v>
      </c>
      <c r="Z122" s="23"/>
      <c r="AB122" s="3">
        <f>AB109+AB114+AB116+AB120</f>
        <v>-33613.224119406266</v>
      </c>
      <c r="AC122" s="2">
        <f>NPV(0.04,F118:Y118)+NPV(0.04,F119:Y119)</f>
        <v>9823.8038227141806</v>
      </c>
      <c r="AD122" s="3">
        <f>AB122-AC122</f>
        <v>-43437.027942120447</v>
      </c>
    </row>
    <row r="124" spans="2:30" ht="14.95" x14ac:dyDescent="0.25">
      <c r="C124" s="66" t="s">
        <v>40</v>
      </c>
      <c r="F124" s="2">
        <f>Base!F124</f>
        <v>-64027.804605314726</v>
      </c>
      <c r="G124" s="2">
        <f>Base!G124</f>
        <v>-3226.8882803085589</v>
      </c>
      <c r="H124" s="2">
        <f>Base!H124</f>
        <v>-656.3167907046136</v>
      </c>
      <c r="I124" s="2">
        <f>Base!I124</f>
        <v>-110.94964554394664</v>
      </c>
      <c r="J124" s="2">
        <f>Base!J124</f>
        <v>2036.3178295739826</v>
      </c>
      <c r="K124" s="2">
        <f>Base!K124</f>
        <v>3907.0997663450235</v>
      </c>
      <c r="L124" s="2">
        <f>Base!L124</f>
        <v>4054.8978116505332</v>
      </c>
      <c r="M124" s="2">
        <f>Base!M124</f>
        <v>5583.7354455159621</v>
      </c>
      <c r="N124" s="2">
        <f>Base!N124</f>
        <v>6884.8767194601751</v>
      </c>
      <c r="O124" s="2">
        <f>Base!O124</f>
        <v>7973.9679692968384</v>
      </c>
      <c r="P124" s="2">
        <f>Base!P124</f>
        <v>5303.6778068502263</v>
      </c>
      <c r="Q124" s="2">
        <f>Base!Q124</f>
        <v>6290.8538173058441</v>
      </c>
      <c r="R124" s="2">
        <f>Base!R124</f>
        <v>6627.8431376822091</v>
      </c>
      <c r="S124" s="2">
        <f>Base!S124</f>
        <v>6896.3032288141512</v>
      </c>
      <c r="T124" s="2">
        <f>Base!T124</f>
        <v>7541.9718721591971</v>
      </c>
      <c r="U124" s="2">
        <f>Base!U124</f>
        <v>7640.0160289516489</v>
      </c>
      <c r="V124" s="2">
        <f>Base!V124</f>
        <v>7685.7447224902253</v>
      </c>
      <c r="W124" s="2">
        <f>Base!W124</f>
        <v>8057.2423800221832</v>
      </c>
      <c r="X124" s="2">
        <f>Base!X124</f>
        <v>8322.4267864143785</v>
      </c>
      <c r="Y124" s="2">
        <f>Base!Y124</f>
        <v>7819.7274020805598</v>
      </c>
      <c r="Z124" s="23"/>
    </row>
    <row r="125" spans="2:30" ht="14.95" x14ac:dyDescent="0.25">
      <c r="B125" s="4"/>
      <c r="C125" s="2" t="s">
        <v>2</v>
      </c>
      <c r="F125" s="2">
        <f>F122-F124</f>
        <v>0</v>
      </c>
      <c r="G125" s="2">
        <f t="shared" ref="G125:Y125" si="40">G122-G124</f>
        <v>7.2759576141834259E-12</v>
      </c>
      <c r="H125" s="2">
        <f t="shared" si="40"/>
        <v>-4508.7008000000133</v>
      </c>
      <c r="I125" s="2">
        <f t="shared" si="40"/>
        <v>-4281.0114095999961</v>
      </c>
      <c r="J125" s="2">
        <f t="shared" si="40"/>
        <v>-4064.8203334151913</v>
      </c>
      <c r="K125" s="2">
        <f t="shared" si="40"/>
        <v>-3859.1404245443773</v>
      </c>
      <c r="L125" s="2">
        <f t="shared" si="40"/>
        <v>-3663.4820050199778</v>
      </c>
      <c r="M125" s="2">
        <f t="shared" si="40"/>
        <v>-3477.7434673654971</v>
      </c>
      <c r="N125" s="2">
        <f t="shared" si="40"/>
        <v>-3301.0740992233041</v>
      </c>
      <c r="O125" s="2">
        <f t="shared" si="40"/>
        <v>-3133.0494275728561</v>
      </c>
      <c r="P125" s="2">
        <f t="shared" si="40"/>
        <v>-780.12930746562051</v>
      </c>
      <c r="Q125" s="2">
        <f t="shared" si="40"/>
        <v>-739.6210931754722</v>
      </c>
      <c r="R125" s="2">
        <f t="shared" si="40"/>
        <v>-700.95740052973269</v>
      </c>
      <c r="S125" s="2">
        <f t="shared" si="40"/>
        <v>-664.19218487195576</v>
      </c>
      <c r="T125" s="2">
        <f t="shared" si="40"/>
        <v>-629.23907114307258</v>
      </c>
      <c r="U125" s="2">
        <f t="shared" si="40"/>
        <v>-595.90513134925641</v>
      </c>
      <c r="V125" s="2">
        <f t="shared" si="40"/>
        <v>-564.23277361804867</v>
      </c>
      <c r="W125" s="2">
        <f t="shared" si="40"/>
        <v>-534.14506096486366</v>
      </c>
      <c r="X125" s="2">
        <f t="shared" si="40"/>
        <v>-505.47482481757106</v>
      </c>
      <c r="Y125" s="2">
        <f t="shared" si="40"/>
        <v>-478.16654740681042</v>
      </c>
    </row>
    <row r="126" spans="2:30"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D164"/>
  <sheetViews>
    <sheetView zoomScale="90" zoomScaleNormal="90" workbookViewId="0">
      <pane xSplit="5" ySplit="5" topLeftCell="F6" activePane="bottomRight" state="frozen"/>
      <selection pane="topRight" activeCell="F1" sqref="F1"/>
      <selection pane="bottomLeft" activeCell="A6" sqref="A6"/>
      <selection pane="bottomRight" activeCell="B3" sqref="B3"/>
    </sheetView>
  </sheetViews>
  <sheetFormatPr defaultColWidth="9.125" defaultRowHeight="14.3" x14ac:dyDescent="0.25"/>
  <cols>
    <col min="1" max="1" width="4.125" style="2" customWidth="1"/>
    <col min="2" max="2" width="5.625" style="2" customWidth="1"/>
    <col min="3" max="3" width="46.75" style="2" bestFit="1" customWidth="1"/>
    <col min="4" max="4" width="1.25" style="2" customWidth="1"/>
    <col min="5" max="6" width="10.125" style="2" customWidth="1"/>
    <col min="7" max="9" width="9.125" style="2"/>
    <col min="10" max="10" width="10.125" style="2" bestFit="1" customWidth="1"/>
    <col min="11" max="27" width="9.125" style="2"/>
    <col min="28" max="28" width="12.125" style="2" customWidth="1"/>
    <col min="29" max="16384" width="9.125" style="2"/>
  </cols>
  <sheetData>
    <row r="2" spans="2:28" ht="15.8" x14ac:dyDescent="0.25">
      <c r="B2" s="13" t="s">
        <v>124</v>
      </c>
    </row>
    <row r="3" spans="2:28" ht="14.95" x14ac:dyDescent="0.25">
      <c r="B3" s="4" t="s">
        <v>62</v>
      </c>
    </row>
    <row r="5" spans="2:28" ht="14.95"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ht="14.95" x14ac:dyDescent="0.25">
      <c r="F6" s="1"/>
      <c r="G6" s="1"/>
      <c r="H6" s="1"/>
      <c r="I6" s="1"/>
      <c r="J6" s="1"/>
      <c r="K6" s="1"/>
      <c r="L6" s="1"/>
      <c r="M6" s="1"/>
      <c r="N6" s="1"/>
      <c r="O6" s="1"/>
      <c r="P6" s="1"/>
      <c r="Q6" s="1"/>
      <c r="R6" s="1"/>
      <c r="S6" s="1"/>
      <c r="T6" s="1"/>
      <c r="U6" s="1"/>
      <c r="V6" s="1"/>
      <c r="W6" s="1"/>
      <c r="X6" s="1"/>
      <c r="Y6" s="1"/>
    </row>
    <row r="7" spans="2:28" ht="14.95" x14ac:dyDescent="0.25">
      <c r="C7" s="3" t="s">
        <v>44</v>
      </c>
      <c r="F7" s="1"/>
      <c r="G7" s="1"/>
      <c r="H7" s="1"/>
      <c r="I7" s="1"/>
      <c r="J7" s="1"/>
      <c r="K7" s="1"/>
      <c r="L7" s="1"/>
      <c r="M7" s="1"/>
      <c r="N7" s="1"/>
      <c r="O7" s="1"/>
      <c r="P7" s="1"/>
      <c r="Q7" s="1"/>
      <c r="R7" s="1"/>
      <c r="S7" s="1"/>
      <c r="T7" s="1"/>
      <c r="U7" s="1"/>
      <c r="V7" s="1"/>
      <c r="W7" s="1"/>
      <c r="X7" s="1"/>
      <c r="Y7" s="1"/>
    </row>
    <row r="8" spans="2:28" ht="14.95" x14ac:dyDescent="0.25">
      <c r="B8" s="2" t="s">
        <v>22</v>
      </c>
      <c r="C8" s="30" t="s">
        <v>0</v>
      </c>
      <c r="D8" s="20"/>
      <c r="E8" s="20"/>
      <c r="F8" s="20">
        <f>F36*(Assumptions!D8*Assumptions!$D$6/1000+Assumptions!D9)</f>
        <v>205000</v>
      </c>
      <c r="G8" s="20">
        <f>G36*(Assumptions!E8*Assumptions!$D$6/1000+Assumptions!E9)</f>
        <v>194668</v>
      </c>
      <c r="H8" s="20">
        <f>H36*(Assumptions!F8*Assumptions!$D$6/1000+Assumptions!F9)</f>
        <v>184856.7328</v>
      </c>
      <c r="I8" s="20">
        <f>I36*(Assumptions!G8*Assumptions!$D$6/1000+Assumptions!G9)</f>
        <v>175521.46779360002</v>
      </c>
      <c r="J8" s="20">
        <f>J36*(Assumptions!H8*Assumptions!$D$6/1000+Assumptions!H9)</f>
        <v>166657.63367002321</v>
      </c>
      <c r="K8" s="20">
        <f>K36*(Assumptions!I8*Assumptions!$D$6/1000+Assumptions!I9)</f>
        <v>158224.75740632004</v>
      </c>
      <c r="L8" s="20">
        <f>L36*(Assumptions!J8*Assumptions!$D$6/1000+Assumptions!J9)</f>
        <v>150202.76220581963</v>
      </c>
      <c r="M8" s="20">
        <f>M36*(Assumptions!K8*Assumptions!$D$6/1000+Assumptions!K9)</f>
        <v>142587.48216198458</v>
      </c>
      <c r="N8" s="20">
        <f>N36*(Assumptions!L8*Assumptions!$D$6/1000+Assumptions!L9)</f>
        <v>135344.03806815576</v>
      </c>
      <c r="O8" s="20">
        <f>O36*(Assumptions!M8*Assumptions!$D$6/1000+Assumptions!M9)</f>
        <v>128455.02653048662</v>
      </c>
      <c r="P8" s="20">
        <f>P36*(Assumptions!N8*Assumptions!$D$6/1000+Assumptions!N9)</f>
        <v>103757.19789292989</v>
      </c>
      <c r="Q8" s="20">
        <f>Q36*(Assumptions!O8*Assumptions!$D$6/1000+Assumptions!O9)</f>
        <v>98369.605392339523</v>
      </c>
      <c r="R8" s="20">
        <f>R36*(Assumptions!P8*Assumptions!$D$6/1000+Assumptions!P9)</f>
        <v>93227.334270454972</v>
      </c>
      <c r="S8" s="20">
        <f>S36*(Assumptions!Q8*Assumptions!$D$6/1000+Assumptions!Q9)</f>
        <v>88337.560587969609</v>
      </c>
      <c r="T8" s="20">
        <f>T36*(Assumptions!R8*Assumptions!$D$6/1000+Assumptions!R9)</f>
        <v>83688.79646202772</v>
      </c>
      <c r="U8" s="20">
        <f>U36*(Assumptions!S8*Assumptions!$D$6/1000+Assumptions!S9)</f>
        <v>79255.382469451797</v>
      </c>
      <c r="V8" s="20">
        <f>V36*(Assumptions!T8*Assumptions!$D$6/1000+Assumptions!T9)</f>
        <v>75042.958891200426</v>
      </c>
      <c r="W8" s="20">
        <f>W36*(Assumptions!U8*Assumptions!$D$6/1000+Assumptions!U9)</f>
        <v>71041.293108327169</v>
      </c>
      <c r="X8" s="20">
        <f>X36*(Assumptions!V8*Assumptions!$D$6/1000+Assumptions!V9)</f>
        <v>67228.151700737697</v>
      </c>
      <c r="Y8" s="21">
        <f>Y36*(Assumptions!W8*Assumptions!$D$6/1000+Assumptions!W9)</f>
        <v>63596.150805105346</v>
      </c>
      <c r="Z8" s="23"/>
    </row>
    <row r="9" spans="2:28" ht="14.95"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ht="14.95"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ht="14.95" x14ac:dyDescent="0.25">
      <c r="B11" s="2" t="s">
        <v>22</v>
      </c>
      <c r="C11" s="31" t="s">
        <v>19</v>
      </c>
      <c r="D11" s="23"/>
      <c r="E11" s="23"/>
      <c r="F11" s="23">
        <f>-F36*Assumptions!D11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ht="14.95" x14ac:dyDescent="0.25">
      <c r="B12" s="2" t="s">
        <v>23</v>
      </c>
      <c r="C12" s="31" t="s">
        <v>66</v>
      </c>
      <c r="D12" s="23"/>
      <c r="E12" s="23"/>
      <c r="F12" s="23">
        <f>-F36*Assumptions!D13</f>
        <v>-30000</v>
      </c>
      <c r="G12" s="23">
        <f>-G36*Assumptions!E13</f>
        <v>-28488</v>
      </c>
      <c r="H12" s="23">
        <f>-H36*Assumptions!F13</f>
        <v>-27052.204800000003</v>
      </c>
      <c r="I12" s="23">
        <f>-I36*Assumptions!G13</f>
        <v>-25686.068457600006</v>
      </c>
      <c r="J12" s="23">
        <f>-J36*Assumptions!H13</f>
        <v>-24388.922000491202</v>
      </c>
      <c r="K12" s="23">
        <f>-K36*Assumptions!I13</f>
        <v>-23154.842547266348</v>
      </c>
      <c r="L12" s="23">
        <f>-L36*Assumptions!J13</f>
        <v>-21980.892030119947</v>
      </c>
      <c r="M12" s="23">
        <f>-M36*Assumptions!K13</f>
        <v>-20866.460804192862</v>
      </c>
      <c r="N12" s="23">
        <f>-N36*Assumptions!L13</f>
        <v>-19806.444595339864</v>
      </c>
      <c r="O12" s="23">
        <f>-O36*Assumptions!M13</f>
        <v>-18798.296565437067</v>
      </c>
      <c r="P12" s="23">
        <f>-P36*Assumptions!N13</f>
        <v>-4680.7758447938295</v>
      </c>
      <c r="Q12" s="23">
        <f>-Q36*Assumptions!O13</f>
        <v>-4437.7265590529105</v>
      </c>
      <c r="R12" s="23">
        <f>-R36*Assumptions!P13</f>
        <v>-4205.7444031784198</v>
      </c>
      <c r="S12" s="23">
        <f>-S36*Assumptions!Q13</f>
        <v>-3985.1531092317118</v>
      </c>
      <c r="T12" s="23">
        <f>-T36*Assumptions!R13</f>
        <v>-3775.4344268583932</v>
      </c>
      <c r="U12" s="23">
        <f>-U36*Assumptions!S13</f>
        <v>-3575.4307880955698</v>
      </c>
      <c r="V12" s="23">
        <f>-V36*Assumptions!T13</f>
        <v>-3385.3966417082902</v>
      </c>
      <c r="W12" s="23">
        <f>-W36*Assumptions!U13</f>
        <v>-3204.8703657891956</v>
      </c>
      <c r="X12" s="23">
        <f>-X36*Assumptions!V13</f>
        <v>-3032.84894890546</v>
      </c>
      <c r="Y12" s="26">
        <f>-Y36*Assumptions!W13</f>
        <v>-2868.9992844408425</v>
      </c>
      <c r="Z12" s="23"/>
    </row>
    <row r="13" spans="2:28" ht="14.95" x14ac:dyDescent="0.25">
      <c r="B13" s="2" t="s">
        <v>22</v>
      </c>
      <c r="C13" s="31" t="s">
        <v>20</v>
      </c>
      <c r="D13" s="23"/>
      <c r="E13" s="23"/>
      <c r="F13" s="23">
        <f>-F36*Assumptions!D12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ht="14.95" x14ac:dyDescent="0.25">
      <c r="B14" s="2" t="s">
        <v>23</v>
      </c>
      <c r="C14" s="31" t="s">
        <v>67</v>
      </c>
      <c r="D14" s="23"/>
      <c r="E14" s="23"/>
      <c r="F14" s="23">
        <f>-F36*Assumptions!D14</f>
        <v>-20000</v>
      </c>
      <c r="G14" s="23">
        <f>-G36*Assumptions!E14</f>
        <v>-18992</v>
      </c>
      <c r="H14" s="23">
        <f>-H36*Assumptions!F14</f>
        <v>-18034.803200000002</v>
      </c>
      <c r="I14" s="23">
        <f>-I36*Assumptions!G14</f>
        <v>-17124.045638400003</v>
      </c>
      <c r="J14" s="23">
        <f>-J36*Assumptions!H14</f>
        <v>-16259.281333660801</v>
      </c>
      <c r="K14" s="23">
        <f>-K36*Assumptions!I14</f>
        <v>-15436.561698177566</v>
      </c>
      <c r="L14" s="23">
        <f>-L36*Assumptions!J14</f>
        <v>-14653.928020079964</v>
      </c>
      <c r="M14" s="23">
        <f>-M36*Assumptions!K14</f>
        <v>-13910.973869461908</v>
      </c>
      <c r="N14" s="23">
        <f>-N36*Assumptions!L14</f>
        <v>-13204.296396893244</v>
      </c>
      <c r="O14" s="23">
        <f>-O36*Assumptions!M14</f>
        <v>-12532.197710291377</v>
      </c>
      <c r="P14" s="23">
        <f>-P36*Assumptions!N14</f>
        <v>-3120.517229862553</v>
      </c>
      <c r="Q14" s="23">
        <f>-Q36*Assumptions!O14</f>
        <v>-2958.4843727019406</v>
      </c>
      <c r="R14" s="23">
        <f>-R36*Assumptions!P14</f>
        <v>-2803.8296021189467</v>
      </c>
      <c r="S14" s="23">
        <f>-S36*Assumptions!Q14</f>
        <v>-2656.7687394878076</v>
      </c>
      <c r="T14" s="23">
        <f>-T36*Assumptions!R14</f>
        <v>-2516.9562845722621</v>
      </c>
      <c r="U14" s="23">
        <f>-U36*Assumptions!S14</f>
        <v>-2383.6205253970465</v>
      </c>
      <c r="V14" s="23">
        <f>-V36*Assumptions!T14</f>
        <v>-2256.9310944721933</v>
      </c>
      <c r="W14" s="23">
        <f>-W36*Assumptions!U14</f>
        <v>-2136.5802438594637</v>
      </c>
      <c r="X14" s="23">
        <f>-X36*Assumptions!V14</f>
        <v>-2021.8992992703068</v>
      </c>
      <c r="Y14" s="26">
        <f>-Y36*Assumptions!W14</f>
        <v>-1912.6661896272285</v>
      </c>
      <c r="Z14" s="23"/>
    </row>
    <row r="15" spans="2:28" ht="14.95" x14ac:dyDescent="0.25">
      <c r="B15" s="2" t="s">
        <v>23</v>
      </c>
      <c r="C15" s="31" t="s">
        <v>1</v>
      </c>
      <c r="D15" s="23"/>
      <c r="E15" s="23"/>
      <c r="F15" s="23">
        <f>-F37*Assumptions!$D$6</f>
        <v>-80000</v>
      </c>
      <c r="G15" s="23">
        <f>-G37*Assumptions!$D$6</f>
        <v>-75968</v>
      </c>
      <c r="H15" s="23">
        <f>-H37*Assumptions!$D$6</f>
        <v>-90174.016000000018</v>
      </c>
      <c r="I15" s="23">
        <f>-I37*Assumptions!$D$6</f>
        <v>-85620.22819200001</v>
      </c>
      <c r="J15" s="23">
        <f>-J37*Assumptions!$D$6</f>
        <v>-97555.688001964809</v>
      </c>
      <c r="K15" s="23">
        <f>-K37*Assumptions!$D$6</f>
        <v>-108055.93188724296</v>
      </c>
      <c r="L15" s="23">
        <f>-L37*Assumptions!$D$6</f>
        <v>-102577.49614055976</v>
      </c>
      <c r="M15" s="23">
        <f>-M37*Assumptions!$D$6</f>
        <v>-111287.79095569528</v>
      </c>
      <c r="N15" s="23">
        <f>-N37*Assumptions!$D$6</f>
        <v>-118838.66757203921</v>
      </c>
      <c r="O15" s="23">
        <f>-O37*Assumptions!$D$6</f>
        <v>-125321.97710291378</v>
      </c>
      <c r="P15" s="23">
        <f>-P37*Assumptions!$D$6</f>
        <v>-60069.956674854155</v>
      </c>
      <c r="Q15" s="23">
        <f>-Q37*Assumptions!$D$6</f>
        <v>-67305.519478969145</v>
      </c>
      <c r="R15" s="23">
        <f>-R37*Assumptions!$D$6</f>
        <v>-68693.825251914212</v>
      </c>
      <c r="S15" s="23">
        <f>-S37*Assumptions!$D$6</f>
        <v>-69740.179411554956</v>
      </c>
      <c r="T15" s="23">
        <f>-T37*Assumptions!$D$6</f>
        <v>-74879.449466024802</v>
      </c>
      <c r="U15" s="23">
        <f>-U37*Assumptions!$D$6</f>
        <v>-75084.046550006969</v>
      </c>
      <c r="V15" s="23">
        <f>-V37*Assumptions!$D$6</f>
        <v>-75042.958891200426</v>
      </c>
      <c r="W15" s="23">
        <f>-W37*Assumptions!$D$6</f>
        <v>-78519.323961835282</v>
      </c>
      <c r="X15" s="23">
        <f>-X37*Assumptions!$D$6</f>
        <v>-81381.446795629847</v>
      </c>
      <c r="Y15" s="26">
        <f>-Y37*Assumptions!$D$6</f>
        <v>-76984.814132495943</v>
      </c>
      <c r="Z15" s="23"/>
    </row>
    <row r="16" spans="2:28" ht="14.95" x14ac:dyDescent="0.25">
      <c r="C16" s="32" t="s">
        <v>21</v>
      </c>
      <c r="D16" s="28"/>
      <c r="E16" s="28"/>
      <c r="F16" s="28">
        <f t="shared" ref="F16:Y16" si="1">SUM(F8:F15)</f>
        <v>-189000</v>
      </c>
      <c r="G16" s="28">
        <f>SUM(G8:G15)</f>
        <v>61486.600000000006</v>
      </c>
      <c r="H16" s="28">
        <f t="shared" si="1"/>
        <v>40352.872159999984</v>
      </c>
      <c r="I16" s="28">
        <f t="shared" si="1"/>
        <v>38315.052115920014</v>
      </c>
      <c r="J16" s="28">
        <f t="shared" si="1"/>
        <v>20120.860650405244</v>
      </c>
      <c r="K16" s="28">
        <f t="shared" si="1"/>
        <v>3666.1834033171763</v>
      </c>
      <c r="L16" s="28">
        <f t="shared" si="1"/>
        <v>3480.307904768968</v>
      </c>
      <c r="M16" s="28">
        <f t="shared" si="1"/>
        <v>-10607.117575464697</v>
      </c>
      <c r="N16" s="28">
        <f t="shared" si="1"/>
        <v>-23272.572399524346</v>
      </c>
      <c r="O16" s="28">
        <f t="shared" si="1"/>
        <v>-34620.196174679935</v>
      </c>
      <c r="P16" s="28">
        <f t="shared" si="1"/>
        <v>30698.088248772867</v>
      </c>
      <c r="Q16" s="28">
        <f t="shared" si="1"/>
        <v>18749.394711998539</v>
      </c>
      <c r="R16" s="28">
        <f t="shared" si="1"/>
        <v>12862.568299720646</v>
      </c>
      <c r="S16" s="28">
        <f t="shared" si="1"/>
        <v>7538.58129829666</v>
      </c>
      <c r="T16" s="28">
        <f t="shared" si="1"/>
        <v>-1667.4835385291371</v>
      </c>
      <c r="U16" s="28">
        <f t="shared" si="1"/>
        <v>-5750.4845175203809</v>
      </c>
      <c r="V16" s="28">
        <f t="shared" si="1"/>
        <v>-9394.4756807405065</v>
      </c>
      <c r="W16" s="28">
        <f t="shared" si="1"/>
        <v>-16371.546118573126</v>
      </c>
      <c r="X16" s="28">
        <f t="shared" si="1"/>
        <v>-22569.450928104801</v>
      </c>
      <c r="Y16" s="29">
        <f t="shared" si="1"/>
        <v>-21350.136341713936</v>
      </c>
      <c r="Z16" s="23"/>
      <c r="AB16" s="9"/>
    </row>
    <row r="17" spans="2:28" ht="14.95" x14ac:dyDescent="0.25">
      <c r="E17" s="68"/>
      <c r="F17" s="68"/>
      <c r="G17" s="68"/>
      <c r="H17" s="68"/>
      <c r="I17" s="68"/>
      <c r="J17" s="68"/>
      <c r="K17" s="68"/>
      <c r="L17" s="68"/>
      <c r="M17" s="68"/>
    </row>
    <row r="18" spans="2:28" ht="14.95" x14ac:dyDescent="0.25">
      <c r="C18" s="3" t="s">
        <v>92</v>
      </c>
      <c r="F18" s="1"/>
      <c r="G18" s="1"/>
      <c r="H18" s="1"/>
      <c r="I18" s="1"/>
      <c r="J18" s="1"/>
      <c r="K18" s="1"/>
      <c r="L18" s="1"/>
      <c r="M18" s="1"/>
      <c r="N18" s="1"/>
      <c r="O18" s="1"/>
      <c r="P18" s="1"/>
      <c r="Q18" s="1"/>
      <c r="R18" s="1"/>
      <c r="S18" s="1"/>
      <c r="T18" s="1"/>
      <c r="U18" s="1"/>
      <c r="V18" s="1"/>
      <c r="W18" s="1"/>
      <c r="X18" s="1"/>
      <c r="Y18" s="1"/>
      <c r="AB18" s="7" t="s">
        <v>47</v>
      </c>
    </row>
    <row r="19" spans="2:28" ht="14.95" x14ac:dyDescent="0.25">
      <c r="B19" s="2" t="s">
        <v>22</v>
      </c>
      <c r="C19" s="30" t="s">
        <v>0</v>
      </c>
      <c r="D19" s="20"/>
      <c r="E19" s="20"/>
      <c r="F19" s="20">
        <f t="shared" ref="F19:Y25" si="2">F8</f>
        <v>205000</v>
      </c>
      <c r="G19" s="20">
        <f t="shared" si="2"/>
        <v>194668</v>
      </c>
      <c r="H19" s="20">
        <f t="shared" si="2"/>
        <v>184856.7328</v>
      </c>
      <c r="I19" s="20">
        <f t="shared" si="2"/>
        <v>175521.46779360002</v>
      </c>
      <c r="J19" s="20">
        <f t="shared" si="2"/>
        <v>166657.63367002321</v>
      </c>
      <c r="K19" s="20">
        <f t="shared" si="2"/>
        <v>158224.75740632004</v>
      </c>
      <c r="L19" s="20">
        <f t="shared" si="2"/>
        <v>150202.76220581963</v>
      </c>
      <c r="M19" s="20">
        <f t="shared" si="2"/>
        <v>142587.48216198458</v>
      </c>
      <c r="N19" s="20">
        <f t="shared" si="2"/>
        <v>135344.03806815576</v>
      </c>
      <c r="O19" s="20">
        <f t="shared" si="2"/>
        <v>128455.02653048662</v>
      </c>
      <c r="P19" s="20">
        <f t="shared" si="2"/>
        <v>103757.19789292989</v>
      </c>
      <c r="Q19" s="20">
        <f t="shared" si="2"/>
        <v>98369.605392339523</v>
      </c>
      <c r="R19" s="20">
        <f t="shared" si="2"/>
        <v>93227.334270454972</v>
      </c>
      <c r="S19" s="20">
        <f t="shared" si="2"/>
        <v>88337.560587969609</v>
      </c>
      <c r="T19" s="20">
        <f t="shared" si="2"/>
        <v>83688.79646202772</v>
      </c>
      <c r="U19" s="20">
        <f t="shared" si="2"/>
        <v>79255.382469451797</v>
      </c>
      <c r="V19" s="20">
        <f t="shared" si="2"/>
        <v>75042.958891200426</v>
      </c>
      <c r="W19" s="20">
        <f t="shared" si="2"/>
        <v>71041.293108327169</v>
      </c>
      <c r="X19" s="20">
        <f t="shared" si="2"/>
        <v>67228.151700737697</v>
      </c>
      <c r="Y19" s="21">
        <f t="shared" si="2"/>
        <v>63596.150805105346</v>
      </c>
      <c r="Z19" s="23"/>
      <c r="AB19" s="2">
        <f>NPV(0.04,G19:Z19)+F19</f>
        <v>1885365.7834938848</v>
      </c>
    </row>
    <row r="20" spans="2:28" ht="14.95" x14ac:dyDescent="0.25">
      <c r="B20" s="2" t="s">
        <v>22</v>
      </c>
      <c r="C20" s="31" t="s">
        <v>18</v>
      </c>
      <c r="D20" s="23"/>
      <c r="E20" s="23"/>
      <c r="F20" s="23">
        <f t="shared" si="2"/>
        <v>-164000</v>
      </c>
      <c r="G20" s="23">
        <f t="shared" si="2"/>
        <v>0</v>
      </c>
      <c r="H20" s="23">
        <f t="shared" si="2"/>
        <v>0</v>
      </c>
      <c r="I20" s="23">
        <f t="shared" si="2"/>
        <v>0</v>
      </c>
      <c r="J20" s="23">
        <f t="shared" si="2"/>
        <v>0</v>
      </c>
      <c r="K20" s="23">
        <f t="shared" si="2"/>
        <v>0</v>
      </c>
      <c r="L20" s="23">
        <f t="shared" si="2"/>
        <v>0</v>
      </c>
      <c r="M20" s="23">
        <f t="shared" si="2"/>
        <v>0</v>
      </c>
      <c r="N20" s="23">
        <f t="shared" si="2"/>
        <v>0</v>
      </c>
      <c r="O20" s="23">
        <f t="shared" si="2"/>
        <v>0</v>
      </c>
      <c r="P20" s="23">
        <f t="shared" si="2"/>
        <v>0</v>
      </c>
      <c r="Q20" s="23">
        <f t="shared" si="2"/>
        <v>0</v>
      </c>
      <c r="R20" s="23">
        <f t="shared" si="2"/>
        <v>0</v>
      </c>
      <c r="S20" s="23">
        <f t="shared" si="2"/>
        <v>0</v>
      </c>
      <c r="T20" s="23">
        <f t="shared" si="2"/>
        <v>0</v>
      </c>
      <c r="U20" s="23">
        <f t="shared" si="2"/>
        <v>0</v>
      </c>
      <c r="V20" s="23">
        <f t="shared" si="2"/>
        <v>0</v>
      </c>
      <c r="W20" s="23">
        <f t="shared" si="2"/>
        <v>0</v>
      </c>
      <c r="X20" s="23">
        <f t="shared" si="2"/>
        <v>0</v>
      </c>
      <c r="Y20" s="26">
        <f t="shared" si="2"/>
        <v>0</v>
      </c>
      <c r="Z20" s="23"/>
      <c r="AB20" s="2">
        <f t="shared" ref="AB20:AB22" si="3">NPV(0.04,G20:Z20)+F20</f>
        <v>-164000</v>
      </c>
    </row>
    <row r="21" spans="2:28" ht="14.95" x14ac:dyDescent="0.25">
      <c r="B21" s="2" t="s">
        <v>22</v>
      </c>
      <c r="C21" s="31" t="s">
        <v>9</v>
      </c>
      <c r="D21" s="23"/>
      <c r="E21" s="23"/>
      <c r="F21" s="23">
        <f t="shared" si="2"/>
        <v>0</v>
      </c>
      <c r="G21" s="23">
        <f t="shared" si="2"/>
        <v>-9733.4</v>
      </c>
      <c r="H21" s="23">
        <f t="shared" si="2"/>
        <v>-9242.8366399999995</v>
      </c>
      <c r="I21" s="23">
        <f t="shared" si="2"/>
        <v>-8776.0733896800011</v>
      </c>
      <c r="J21" s="23">
        <f t="shared" si="2"/>
        <v>-8332.8816835011603</v>
      </c>
      <c r="K21" s="23">
        <f t="shared" si="2"/>
        <v>-7911.237870316003</v>
      </c>
      <c r="L21" s="23">
        <f t="shared" si="2"/>
        <v>-7510.1381102909818</v>
      </c>
      <c r="M21" s="23">
        <f t="shared" si="2"/>
        <v>-7129.3741080992295</v>
      </c>
      <c r="N21" s="23">
        <f t="shared" si="2"/>
        <v>-6767.2019034077884</v>
      </c>
      <c r="O21" s="23">
        <f t="shared" si="2"/>
        <v>-6422.7513265243315</v>
      </c>
      <c r="P21" s="23">
        <f t="shared" si="2"/>
        <v>-5187.8598946464954</v>
      </c>
      <c r="Q21" s="23">
        <f t="shared" si="2"/>
        <v>-4918.4802696169763</v>
      </c>
      <c r="R21" s="23">
        <f t="shared" si="2"/>
        <v>-4661.3667135227488</v>
      </c>
      <c r="S21" s="23">
        <f t="shared" si="2"/>
        <v>-4416.878029398481</v>
      </c>
      <c r="T21" s="23">
        <f t="shared" si="2"/>
        <v>-4184.4398231013865</v>
      </c>
      <c r="U21" s="23">
        <f t="shared" si="2"/>
        <v>-3962.7691234725899</v>
      </c>
      <c r="V21" s="23">
        <f t="shared" si="2"/>
        <v>-3752.1479445600216</v>
      </c>
      <c r="W21" s="23">
        <f t="shared" si="2"/>
        <v>-3552.0646554163586</v>
      </c>
      <c r="X21" s="23">
        <f t="shared" si="2"/>
        <v>-3361.4075850368849</v>
      </c>
      <c r="Y21" s="26">
        <f t="shared" si="2"/>
        <v>-3179.8075402552677</v>
      </c>
      <c r="Z21" s="23"/>
      <c r="AB21" s="2">
        <f t="shared" si="3"/>
        <v>-84018.289174694233</v>
      </c>
    </row>
    <row r="22" spans="2:28" ht="14.95" x14ac:dyDescent="0.25">
      <c r="B22" s="2" t="s">
        <v>22</v>
      </c>
      <c r="C22" s="31" t="s">
        <v>19</v>
      </c>
      <c r="D22" s="23"/>
      <c r="E22" s="23"/>
      <c r="F22" s="23">
        <f t="shared" si="2"/>
        <v>-40000</v>
      </c>
      <c r="G22" s="23">
        <f t="shared" si="2"/>
        <v>0</v>
      </c>
      <c r="H22" s="23">
        <f t="shared" si="2"/>
        <v>0</v>
      </c>
      <c r="I22" s="23">
        <f t="shared" si="2"/>
        <v>0</v>
      </c>
      <c r="J22" s="23">
        <f t="shared" si="2"/>
        <v>0</v>
      </c>
      <c r="K22" s="23">
        <f t="shared" si="2"/>
        <v>0</v>
      </c>
      <c r="L22" s="23">
        <f t="shared" si="2"/>
        <v>0</v>
      </c>
      <c r="M22" s="23">
        <f t="shared" si="2"/>
        <v>0</v>
      </c>
      <c r="N22" s="23">
        <f t="shared" si="2"/>
        <v>0</v>
      </c>
      <c r="O22" s="23">
        <f t="shared" si="2"/>
        <v>0</v>
      </c>
      <c r="P22" s="23">
        <f t="shared" si="2"/>
        <v>0</v>
      </c>
      <c r="Q22" s="23">
        <f t="shared" si="2"/>
        <v>0</v>
      </c>
      <c r="R22" s="23">
        <f t="shared" si="2"/>
        <v>0</v>
      </c>
      <c r="S22" s="23">
        <f t="shared" si="2"/>
        <v>0</v>
      </c>
      <c r="T22" s="23">
        <f t="shared" si="2"/>
        <v>0</v>
      </c>
      <c r="U22" s="23">
        <f t="shared" si="2"/>
        <v>0</v>
      </c>
      <c r="V22" s="23">
        <f t="shared" si="2"/>
        <v>0</v>
      </c>
      <c r="W22" s="23">
        <f t="shared" si="2"/>
        <v>0</v>
      </c>
      <c r="X22" s="23">
        <f t="shared" si="2"/>
        <v>0</v>
      </c>
      <c r="Y22" s="26">
        <f t="shared" si="2"/>
        <v>0</v>
      </c>
      <c r="Z22" s="23"/>
      <c r="AB22" s="2">
        <f t="shared" si="3"/>
        <v>-40000</v>
      </c>
    </row>
    <row r="23" spans="2:28" ht="14.95" x14ac:dyDescent="0.25">
      <c r="B23" s="2" t="s">
        <v>23</v>
      </c>
      <c r="C23" s="31" t="s">
        <v>66</v>
      </c>
      <c r="D23" s="23"/>
      <c r="E23" s="23"/>
      <c r="F23" s="23">
        <f t="shared" si="2"/>
        <v>-30000</v>
      </c>
      <c r="G23" s="23">
        <f t="shared" si="2"/>
        <v>-28488</v>
      </c>
      <c r="H23" s="41">
        <f>-H36*Assumptions!F32</f>
        <v>-31560.905600000002</v>
      </c>
      <c r="I23" s="41">
        <f>-I36*Assumptions!G32</f>
        <v>-29967.079867200006</v>
      </c>
      <c r="J23" s="41">
        <f>-J36*Assumptions!H32</f>
        <v>-28453.742333906404</v>
      </c>
      <c r="K23" s="41">
        <f>-K36*Assumptions!I32</f>
        <v>-27013.982971810739</v>
      </c>
      <c r="L23" s="41">
        <f>-L36*Assumptions!J32</f>
        <v>-25644.374035139936</v>
      </c>
      <c r="M23" s="41">
        <f>-M36*Assumptions!K32</f>
        <v>-24344.204271558341</v>
      </c>
      <c r="N23" s="41">
        <f>-N36*Assumptions!L32</f>
        <v>-23107.518694563176</v>
      </c>
      <c r="O23" s="41">
        <f>-O36*Assumptions!M32</f>
        <v>-21931.345993009909</v>
      </c>
      <c r="P23" s="41">
        <f>-P36*Assumptions!N32</f>
        <v>-5460.9051522594673</v>
      </c>
      <c r="Q23" s="41">
        <f>-Q36*Assumptions!O32</f>
        <v>-5177.3476522283954</v>
      </c>
      <c r="R23" s="41">
        <f>-R36*Assumptions!P32</f>
        <v>-4906.7018037081571</v>
      </c>
      <c r="S23" s="41">
        <f>-S36*Assumptions!Q32</f>
        <v>-4649.3452941036639</v>
      </c>
      <c r="T23" s="41">
        <f>-T36*Assumptions!R32</f>
        <v>-4404.6734980014589</v>
      </c>
      <c r="U23" s="41">
        <f>-U36*Assumptions!S32</f>
        <v>-4171.3359194448312</v>
      </c>
      <c r="V23" s="41">
        <f>-V36*Assumptions!T32</f>
        <v>-3949.6294153263384</v>
      </c>
      <c r="W23" s="41">
        <f>-W36*Assumptions!U32</f>
        <v>-3739.0154267540615</v>
      </c>
      <c r="X23" s="41">
        <f>-X36*Assumptions!V32</f>
        <v>-3538.323773723037</v>
      </c>
      <c r="Y23" s="45">
        <f>-Y36*Assumptions!W32</f>
        <v>-3347.1658318476498</v>
      </c>
      <c r="Z23" s="23"/>
      <c r="AB23" s="2">
        <f>NPV(0.04,F23:Z23)</f>
        <v>-246087.6307386054</v>
      </c>
    </row>
    <row r="24" spans="2:28" ht="14.95" x14ac:dyDescent="0.25">
      <c r="B24" s="2" t="s">
        <v>22</v>
      </c>
      <c r="C24" s="31" t="s">
        <v>20</v>
      </c>
      <c r="D24" s="23"/>
      <c r="E24" s="23"/>
      <c r="F24" s="23">
        <f t="shared" si="2"/>
        <v>-60000</v>
      </c>
      <c r="G24" s="23">
        <f t="shared" si="2"/>
        <v>0</v>
      </c>
      <c r="H24" s="23">
        <f t="shared" si="2"/>
        <v>0</v>
      </c>
      <c r="I24" s="23">
        <f t="shared" si="2"/>
        <v>0</v>
      </c>
      <c r="J24" s="23">
        <f t="shared" si="2"/>
        <v>0</v>
      </c>
      <c r="K24" s="23">
        <f t="shared" si="2"/>
        <v>0</v>
      </c>
      <c r="L24" s="23">
        <f t="shared" si="2"/>
        <v>0</v>
      </c>
      <c r="M24" s="23">
        <f t="shared" si="2"/>
        <v>0</v>
      </c>
      <c r="N24" s="23">
        <f t="shared" si="2"/>
        <v>0</v>
      </c>
      <c r="O24" s="23">
        <f t="shared" si="2"/>
        <v>0</v>
      </c>
      <c r="P24" s="23">
        <f t="shared" si="2"/>
        <v>0</v>
      </c>
      <c r="Q24" s="23">
        <f t="shared" si="2"/>
        <v>0</v>
      </c>
      <c r="R24" s="23">
        <f t="shared" si="2"/>
        <v>0</v>
      </c>
      <c r="S24" s="23">
        <f t="shared" si="2"/>
        <v>0</v>
      </c>
      <c r="T24" s="23">
        <f t="shared" si="2"/>
        <v>0</v>
      </c>
      <c r="U24" s="23">
        <f t="shared" si="2"/>
        <v>0</v>
      </c>
      <c r="V24" s="23">
        <f t="shared" si="2"/>
        <v>0</v>
      </c>
      <c r="W24" s="23">
        <f t="shared" si="2"/>
        <v>0</v>
      </c>
      <c r="X24" s="23">
        <f t="shared" si="2"/>
        <v>0</v>
      </c>
      <c r="Y24" s="26">
        <f t="shared" si="2"/>
        <v>0</v>
      </c>
      <c r="Z24" s="23"/>
      <c r="AB24" s="2">
        <f>NPV(0.04,G24:Z24)+F24</f>
        <v>-60000</v>
      </c>
    </row>
    <row r="25" spans="2:28" ht="14.95" x14ac:dyDescent="0.25">
      <c r="B25" s="2" t="s">
        <v>23</v>
      </c>
      <c r="C25" s="31" t="s">
        <v>67</v>
      </c>
      <c r="D25" s="23"/>
      <c r="E25" s="23"/>
      <c r="F25" s="23">
        <f>F14</f>
        <v>-20000</v>
      </c>
      <c r="G25" s="23">
        <f t="shared" si="2"/>
        <v>-18992</v>
      </c>
      <c r="H25" s="23">
        <f t="shared" si="2"/>
        <v>-18034.803200000002</v>
      </c>
      <c r="I25" s="23">
        <f t="shared" si="2"/>
        <v>-17124.045638400003</v>
      </c>
      <c r="J25" s="23">
        <f t="shared" si="2"/>
        <v>-16259.281333660801</v>
      </c>
      <c r="K25" s="23">
        <f t="shared" si="2"/>
        <v>-15436.561698177566</v>
      </c>
      <c r="L25" s="23">
        <f t="shared" si="2"/>
        <v>-14653.928020079964</v>
      </c>
      <c r="M25" s="23">
        <f t="shared" si="2"/>
        <v>-13910.973869461908</v>
      </c>
      <c r="N25" s="23">
        <f t="shared" si="2"/>
        <v>-13204.296396893244</v>
      </c>
      <c r="O25" s="23">
        <f t="shared" si="2"/>
        <v>-12532.197710291377</v>
      </c>
      <c r="P25" s="23">
        <f t="shared" si="2"/>
        <v>-3120.517229862553</v>
      </c>
      <c r="Q25" s="23">
        <f t="shared" si="2"/>
        <v>-2958.4843727019406</v>
      </c>
      <c r="R25" s="23">
        <f t="shared" si="2"/>
        <v>-2803.8296021189467</v>
      </c>
      <c r="S25" s="23">
        <f t="shared" si="2"/>
        <v>-2656.7687394878076</v>
      </c>
      <c r="T25" s="23">
        <f t="shared" si="2"/>
        <v>-2516.9562845722621</v>
      </c>
      <c r="U25" s="23">
        <f t="shared" si="2"/>
        <v>-2383.6205253970465</v>
      </c>
      <c r="V25" s="23">
        <f t="shared" si="2"/>
        <v>-2256.9310944721933</v>
      </c>
      <c r="W25" s="23">
        <f t="shared" si="2"/>
        <v>-2136.5802438594637</v>
      </c>
      <c r="X25" s="23">
        <f t="shared" si="2"/>
        <v>-2021.8992992703068</v>
      </c>
      <c r="Y25" s="26">
        <f t="shared" si="2"/>
        <v>-1912.6661896272285</v>
      </c>
      <c r="Z25" s="23"/>
      <c r="AB25" s="2">
        <f>NPV(0.04,F25:Z25)</f>
        <v>-145877.20911183197</v>
      </c>
    </row>
    <row r="26" spans="2:28" ht="14.95" x14ac:dyDescent="0.25">
      <c r="B26" s="2" t="s">
        <v>23</v>
      </c>
      <c r="C26" s="31" t="s">
        <v>1</v>
      </c>
      <c r="D26" s="23"/>
      <c r="E26" s="23"/>
      <c r="F26" s="23">
        <f t="shared" ref="F26:Y26" si="4">F15</f>
        <v>-80000</v>
      </c>
      <c r="G26" s="23">
        <f t="shared" si="4"/>
        <v>-75968</v>
      </c>
      <c r="H26" s="23">
        <f t="shared" si="4"/>
        <v>-90174.016000000018</v>
      </c>
      <c r="I26" s="23">
        <f t="shared" si="4"/>
        <v>-85620.22819200001</v>
      </c>
      <c r="J26" s="23">
        <f t="shared" si="4"/>
        <v>-97555.688001964809</v>
      </c>
      <c r="K26" s="23">
        <f t="shared" si="4"/>
        <v>-108055.93188724296</v>
      </c>
      <c r="L26" s="23">
        <f t="shared" si="4"/>
        <v>-102577.49614055976</v>
      </c>
      <c r="M26" s="23">
        <f t="shared" si="4"/>
        <v>-111287.79095569528</v>
      </c>
      <c r="N26" s="23">
        <f t="shared" si="4"/>
        <v>-118838.66757203921</v>
      </c>
      <c r="O26" s="23">
        <f t="shared" si="4"/>
        <v>-125321.97710291378</v>
      </c>
      <c r="P26" s="23">
        <f t="shared" si="4"/>
        <v>-60069.956674854155</v>
      </c>
      <c r="Q26" s="23">
        <f t="shared" si="4"/>
        <v>-67305.519478969145</v>
      </c>
      <c r="R26" s="23">
        <f t="shared" si="4"/>
        <v>-68693.825251914212</v>
      </c>
      <c r="S26" s="23">
        <f t="shared" si="4"/>
        <v>-69740.179411554956</v>
      </c>
      <c r="T26" s="23">
        <f t="shared" si="4"/>
        <v>-74879.449466024802</v>
      </c>
      <c r="U26" s="23">
        <f t="shared" si="4"/>
        <v>-75084.046550006969</v>
      </c>
      <c r="V26" s="23">
        <f t="shared" si="4"/>
        <v>-75042.958891200426</v>
      </c>
      <c r="W26" s="23">
        <f t="shared" si="4"/>
        <v>-78519.323961835282</v>
      </c>
      <c r="X26" s="23">
        <f t="shared" si="4"/>
        <v>-81381.446795629847</v>
      </c>
      <c r="Y26" s="26">
        <f t="shared" si="4"/>
        <v>-76984.814132495943</v>
      </c>
      <c r="Z26" s="23"/>
      <c r="AB26" s="2">
        <f>NPV(0.04,F26:Z26)</f>
        <v>-1188819.6824108735</v>
      </c>
    </row>
    <row r="27" spans="2:28" ht="14.95" x14ac:dyDescent="0.25">
      <c r="C27" s="32" t="s">
        <v>21</v>
      </c>
      <c r="D27" s="28"/>
      <c r="E27" s="28"/>
      <c r="F27" s="28">
        <f t="shared" ref="F27:Y27" si="5">SUM(F19:F26)</f>
        <v>-189000</v>
      </c>
      <c r="G27" s="28">
        <f t="shared" si="5"/>
        <v>61486.600000000006</v>
      </c>
      <c r="H27" s="46">
        <f t="shared" si="5"/>
        <v>35844.171359999993</v>
      </c>
      <c r="I27" s="46">
        <f t="shared" si="5"/>
        <v>34034.040706320011</v>
      </c>
      <c r="J27" s="46">
        <f t="shared" si="5"/>
        <v>16056.040316990038</v>
      </c>
      <c r="K27" s="46">
        <f t="shared" si="5"/>
        <v>-192.95702122720832</v>
      </c>
      <c r="L27" s="46">
        <f t="shared" si="5"/>
        <v>-183.1741002510098</v>
      </c>
      <c r="M27" s="46">
        <f t="shared" si="5"/>
        <v>-14084.861042830176</v>
      </c>
      <c r="N27" s="46">
        <f t="shared" si="5"/>
        <v>-26573.64649874765</v>
      </c>
      <c r="O27" s="46">
        <f t="shared" si="5"/>
        <v>-37753.245602252777</v>
      </c>
      <c r="P27" s="46">
        <f t="shared" si="5"/>
        <v>29917.958941307224</v>
      </c>
      <c r="Q27" s="46">
        <f t="shared" si="5"/>
        <v>18009.773618823063</v>
      </c>
      <c r="R27" s="46">
        <f t="shared" si="5"/>
        <v>12161.610899190913</v>
      </c>
      <c r="S27" s="46">
        <f t="shared" si="5"/>
        <v>6874.3891134247096</v>
      </c>
      <c r="T27" s="46">
        <f t="shared" si="5"/>
        <v>-2296.7226096722006</v>
      </c>
      <c r="U27" s="46">
        <f t="shared" si="5"/>
        <v>-6346.3896488696337</v>
      </c>
      <c r="V27" s="46">
        <f t="shared" si="5"/>
        <v>-9958.7084543585661</v>
      </c>
      <c r="W27" s="46">
        <f t="shared" si="5"/>
        <v>-16905.691179537993</v>
      </c>
      <c r="X27" s="46">
        <f t="shared" si="5"/>
        <v>-23074.925752922376</v>
      </c>
      <c r="Y27" s="47">
        <f t="shared" si="5"/>
        <v>-21828.302889120743</v>
      </c>
      <c r="Z27" s="23"/>
      <c r="AB27" s="3">
        <f>SUM(AB19:AB26)</f>
        <v>-43437.027942120563</v>
      </c>
    </row>
    <row r="28" spans="2:28" ht="14.95" x14ac:dyDescent="0.25">
      <c r="J28" s="68"/>
      <c r="K28" s="68"/>
      <c r="L28" s="68"/>
      <c r="M28" s="68"/>
      <c r="N28" s="68"/>
      <c r="O28" s="68"/>
      <c r="P28" s="68"/>
      <c r="Q28" s="68"/>
      <c r="R28" s="68"/>
      <c r="S28" s="68"/>
      <c r="T28" s="68"/>
      <c r="U28" s="68"/>
      <c r="V28" s="68"/>
      <c r="W28" s="68"/>
      <c r="X28" s="68"/>
      <c r="Y28" s="68"/>
    </row>
    <row r="29" spans="2:28" ht="14.95" x14ac:dyDescent="0.25">
      <c r="C29" s="3" t="s">
        <v>43</v>
      </c>
    </row>
    <row r="30" spans="2:28" ht="14.95"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ht="14.95"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ht="14.95" x14ac:dyDescent="0.25">
      <c r="B32" s="17"/>
      <c r="C32" s="52" t="s">
        <v>45</v>
      </c>
      <c r="D32" s="23"/>
      <c r="E32" s="23"/>
      <c r="F32" s="23"/>
      <c r="G32" s="23"/>
      <c r="H32" s="23"/>
      <c r="I32" s="23"/>
      <c r="J32" s="23"/>
      <c r="K32" s="23"/>
      <c r="L32" s="23"/>
      <c r="M32" s="23"/>
      <c r="N32" s="23"/>
      <c r="O32" s="23"/>
      <c r="P32" s="23"/>
      <c r="Q32" s="23"/>
      <c r="R32" s="23"/>
      <c r="S32" s="23"/>
      <c r="T32" s="23"/>
      <c r="U32" s="23"/>
      <c r="V32" s="23"/>
      <c r="W32" s="23"/>
      <c r="X32" s="23"/>
      <c r="Y32" s="23"/>
    </row>
    <row r="33" spans="2:26" ht="14.95" x14ac:dyDescent="0.25">
      <c r="B33" s="17" t="s">
        <v>23</v>
      </c>
      <c r="C33" s="33" t="s">
        <v>1</v>
      </c>
      <c r="D33" s="34"/>
      <c r="E33" s="34"/>
      <c r="F33" s="34">
        <f>F30</f>
        <v>-8000</v>
      </c>
      <c r="G33" s="34">
        <f t="shared" ref="G33:Y33" si="6">G30</f>
        <v>-7596.8</v>
      </c>
      <c r="H33" s="34">
        <f t="shared" si="6"/>
        <v>-9017.4016000000029</v>
      </c>
      <c r="I33" s="34">
        <f t="shared" si="6"/>
        <v>-8562.0228192000013</v>
      </c>
      <c r="J33" s="34">
        <f t="shared" si="6"/>
        <v>-9755.5688001964809</v>
      </c>
      <c r="K33" s="34">
        <f t="shared" si="6"/>
        <v>-10805.593188724297</v>
      </c>
      <c r="L33" s="34">
        <f t="shared" si="6"/>
        <v>-10257.749614055976</v>
      </c>
      <c r="M33" s="34">
        <f t="shared" si="6"/>
        <v>-11128.779095569529</v>
      </c>
      <c r="N33" s="34">
        <f t="shared" si="6"/>
        <v>-11883.866757203921</v>
      </c>
      <c r="O33" s="34">
        <f t="shared" si="6"/>
        <v>-12532.197710291379</v>
      </c>
      <c r="P33" s="34">
        <f t="shared" si="6"/>
        <v>-6006.9956674854157</v>
      </c>
      <c r="Q33" s="34">
        <f t="shared" si="6"/>
        <v>-6730.5519478969145</v>
      </c>
      <c r="R33" s="34">
        <f t="shared" si="6"/>
        <v>-6869.3825251914213</v>
      </c>
      <c r="S33" s="34">
        <f t="shared" si="6"/>
        <v>-6974.0179411554964</v>
      </c>
      <c r="T33" s="34">
        <f t="shared" si="6"/>
        <v>-7487.9449466024807</v>
      </c>
      <c r="U33" s="34">
        <f t="shared" si="6"/>
        <v>-7508.4046550006969</v>
      </c>
      <c r="V33" s="34">
        <f t="shared" si="6"/>
        <v>-7504.2958891200433</v>
      </c>
      <c r="W33" s="34">
        <f t="shared" si="6"/>
        <v>-7851.9323961835289</v>
      </c>
      <c r="X33" s="34">
        <f t="shared" si="6"/>
        <v>-8138.1446795629854</v>
      </c>
      <c r="Y33" s="35">
        <f t="shared" si="6"/>
        <v>-7698.4814132495949</v>
      </c>
      <c r="Z33" s="23"/>
    </row>
    <row r="34" spans="2:26" ht="14.95" x14ac:dyDescent="0.25">
      <c r="C34" s="6"/>
    </row>
    <row r="35" spans="2:26" ht="14.95" x14ac:dyDescent="0.25">
      <c r="C35" s="3" t="s">
        <v>16</v>
      </c>
    </row>
    <row r="36" spans="2:26" x14ac:dyDescent="0.25">
      <c r="C36" s="19" t="s">
        <v>74</v>
      </c>
      <c r="D36" s="20"/>
      <c r="E36" s="20"/>
      <c r="F36" s="20">
        <f>Assumptions!D7</f>
        <v>1000</v>
      </c>
      <c r="G36" s="20">
        <f>F39</f>
        <v>949.6</v>
      </c>
      <c r="H36" s="20">
        <f t="shared" ref="H36:Y36" si="7">G39</f>
        <v>901.74016000000006</v>
      </c>
      <c r="I36" s="20">
        <f t="shared" si="7"/>
        <v>856.20228192000013</v>
      </c>
      <c r="J36" s="20">
        <f t="shared" si="7"/>
        <v>812.96406668304007</v>
      </c>
      <c r="K36" s="20">
        <f t="shared" si="7"/>
        <v>771.82808490887828</v>
      </c>
      <c r="L36" s="20">
        <f t="shared" si="7"/>
        <v>732.69640100399818</v>
      </c>
      <c r="M36" s="20">
        <f t="shared" si="7"/>
        <v>695.54869347309545</v>
      </c>
      <c r="N36" s="20">
        <f t="shared" si="7"/>
        <v>660.2148198446622</v>
      </c>
      <c r="O36" s="20">
        <f t="shared" si="7"/>
        <v>626.60988551456887</v>
      </c>
      <c r="P36" s="20">
        <f t="shared" si="7"/>
        <v>156.02586149312765</v>
      </c>
      <c r="Q36" s="20">
        <f t="shared" si="7"/>
        <v>147.92421863509702</v>
      </c>
      <c r="R36" s="20">
        <f t="shared" si="7"/>
        <v>140.19148010594733</v>
      </c>
      <c r="S36" s="20">
        <f t="shared" si="7"/>
        <v>132.83843697439039</v>
      </c>
      <c r="T36" s="20">
        <f t="shared" si="7"/>
        <v>125.8478142286131</v>
      </c>
      <c r="U36" s="20">
        <f t="shared" si="7"/>
        <v>119.18102626985232</v>
      </c>
      <c r="V36" s="20">
        <f t="shared" si="7"/>
        <v>112.84655472360967</v>
      </c>
      <c r="W36" s="20">
        <f t="shared" si="7"/>
        <v>106.82901219297318</v>
      </c>
      <c r="X36" s="20">
        <f t="shared" si="7"/>
        <v>101.09496496351534</v>
      </c>
      <c r="Y36" s="21">
        <f t="shared" si="7"/>
        <v>95.633309481361422</v>
      </c>
      <c r="Z36" s="23"/>
    </row>
    <row r="37" spans="2:26"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24">
        <f>O36*Assumptions!M22</f>
        <v>0.62660988551456887</v>
      </c>
      <c r="P37" s="24">
        <f>P36*Assumptions!N22</f>
        <v>0.30034978337427076</v>
      </c>
      <c r="Q37" s="24">
        <f>Q36*Assumptions!O22</f>
        <v>0.33652759739484572</v>
      </c>
      <c r="R37" s="24">
        <f>R36*Assumptions!P22</f>
        <v>0.34346912625957104</v>
      </c>
      <c r="S37" s="24">
        <f>S36*Assumptions!Q22</f>
        <v>0.34870089705777479</v>
      </c>
      <c r="T37" s="24">
        <f>T36*Assumptions!R22</f>
        <v>0.37439724733012403</v>
      </c>
      <c r="U37" s="24">
        <f>U36*Assumptions!S22</f>
        <v>0.37542023275003483</v>
      </c>
      <c r="V37" s="24">
        <f>V36*Assumptions!T22</f>
        <v>0.37521479445600214</v>
      </c>
      <c r="W37" s="24">
        <f>W36*Assumptions!U22</f>
        <v>0.39259661980917643</v>
      </c>
      <c r="X37" s="24">
        <f>X36*Assumptions!V22</f>
        <v>0.40690723397814921</v>
      </c>
      <c r="Y37" s="25">
        <f>Y36*Assumptions!W22</f>
        <v>0.38492407066247974</v>
      </c>
      <c r="Z37" s="24"/>
    </row>
    <row r="38" spans="2:26"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23">
        <f>N36*Assumptions!L21</f>
        <v>33.01074099223311</v>
      </c>
      <c r="O38" s="23">
        <f>O36*Assumptions!M21</f>
        <v>469.95741413592668</v>
      </c>
      <c r="P38" s="23">
        <f>P36*Assumptions!N21</f>
        <v>7.8012930746563827</v>
      </c>
      <c r="Q38" s="23">
        <f>Q36*Assumptions!O21</f>
        <v>7.396210931754851</v>
      </c>
      <c r="R38" s="23">
        <f>R36*Assumptions!P21</f>
        <v>7.0095740052973667</v>
      </c>
      <c r="S38" s="23">
        <f>S36*Assumptions!Q21</f>
        <v>6.6419218487195195</v>
      </c>
      <c r="T38" s="23">
        <f>T36*Assumptions!R21</f>
        <v>6.2923907114306559</v>
      </c>
      <c r="U38" s="23">
        <f>U36*Assumptions!S21</f>
        <v>5.9590513134926164</v>
      </c>
      <c r="V38" s="23">
        <f>V36*Assumptions!T21</f>
        <v>5.6423277361804836</v>
      </c>
      <c r="W38" s="23">
        <f>W36*Assumptions!U21</f>
        <v>5.3414506096486596</v>
      </c>
      <c r="X38" s="23">
        <f>X36*Assumptions!V21</f>
        <v>5.0547482481757671</v>
      </c>
      <c r="Y38" s="26">
        <f>Y36*Assumptions!W21</f>
        <v>95.633309481361422</v>
      </c>
      <c r="Z38" s="23"/>
    </row>
    <row r="39" spans="2:26" x14ac:dyDescent="0.25">
      <c r="C39" s="27" t="s">
        <v>75</v>
      </c>
      <c r="D39" s="28"/>
      <c r="E39" s="28"/>
      <c r="F39" s="28">
        <f>F36-F37-F38</f>
        <v>949.6</v>
      </c>
      <c r="G39" s="28">
        <f t="shared" ref="G39:Y39" si="8">G36-G37-G38</f>
        <v>901.74016000000006</v>
      </c>
      <c r="H39" s="28">
        <f t="shared" si="8"/>
        <v>856.20228192000013</v>
      </c>
      <c r="I39" s="28">
        <f t="shared" si="8"/>
        <v>812.96406668304007</v>
      </c>
      <c r="J39" s="28">
        <f t="shared" si="8"/>
        <v>771.82808490887828</v>
      </c>
      <c r="K39" s="28">
        <f t="shared" si="8"/>
        <v>732.69640100399818</v>
      </c>
      <c r="L39" s="28">
        <f t="shared" si="8"/>
        <v>695.54869347309545</v>
      </c>
      <c r="M39" s="28">
        <f t="shared" si="8"/>
        <v>660.2148198446622</v>
      </c>
      <c r="N39" s="28">
        <f t="shared" si="8"/>
        <v>626.60988551456887</v>
      </c>
      <c r="O39" s="28">
        <f t="shared" si="8"/>
        <v>156.02586149312765</v>
      </c>
      <c r="P39" s="28">
        <f t="shared" si="8"/>
        <v>147.92421863509702</v>
      </c>
      <c r="Q39" s="28">
        <f t="shared" si="8"/>
        <v>140.19148010594733</v>
      </c>
      <c r="R39" s="28">
        <f t="shared" si="8"/>
        <v>132.83843697439039</v>
      </c>
      <c r="S39" s="28">
        <f t="shared" si="8"/>
        <v>125.8478142286131</v>
      </c>
      <c r="T39" s="28">
        <f t="shared" si="8"/>
        <v>119.18102626985232</v>
      </c>
      <c r="U39" s="28">
        <f t="shared" si="8"/>
        <v>112.84655472360967</v>
      </c>
      <c r="V39" s="28">
        <f t="shared" si="8"/>
        <v>106.82901219297318</v>
      </c>
      <c r="W39" s="28">
        <f t="shared" si="8"/>
        <v>101.09496496351534</v>
      </c>
      <c r="X39" s="28">
        <f t="shared" si="8"/>
        <v>95.633309481361422</v>
      </c>
      <c r="Y39" s="29">
        <f t="shared" si="8"/>
        <v>-0.38492407066247836</v>
      </c>
      <c r="Z39" s="23"/>
    </row>
    <row r="40" spans="2:26" x14ac:dyDescent="0.25">
      <c r="C40" s="6"/>
    </row>
    <row r="41" spans="2:26" x14ac:dyDescent="0.25">
      <c r="C41" s="3" t="s">
        <v>24</v>
      </c>
    </row>
    <row r="42" spans="2:26" x14ac:dyDescent="0.25">
      <c r="C42" s="19" t="s">
        <v>33</v>
      </c>
      <c r="D42" s="20"/>
      <c r="E42" s="21">
        <f>F8+NPV(Assumptions!D18,'Expense Shock'!G8:Y8)</f>
        <v>1885365.7834938848</v>
      </c>
    </row>
    <row r="43" spans="2:26" x14ac:dyDescent="0.25">
      <c r="C43" s="22" t="s">
        <v>34</v>
      </c>
      <c r="D43" s="23"/>
      <c r="E43" s="26">
        <f>F10+NPV(Assumptions!D18,'Expense Shock'!G10:Y10)</f>
        <v>-84018.289174694233</v>
      </c>
    </row>
    <row r="44" spans="2:26" x14ac:dyDescent="0.25">
      <c r="C44" s="22" t="s">
        <v>68</v>
      </c>
      <c r="D44" s="23"/>
      <c r="E44" s="26">
        <f>NPV(Assumptions!D18,F12:Y12)</f>
        <v>-218815.81366774798</v>
      </c>
    </row>
    <row r="45" spans="2:26" x14ac:dyDescent="0.25">
      <c r="C45" s="22" t="s">
        <v>35</v>
      </c>
      <c r="D45" s="23"/>
      <c r="E45" s="26">
        <f>NPV(Assumptions!D18,F15:Y15)</f>
        <v>-1188819.6824108735</v>
      </c>
    </row>
    <row r="46" spans="2:26" x14ac:dyDescent="0.25">
      <c r="C46" s="22" t="s">
        <v>36</v>
      </c>
      <c r="D46" s="23"/>
      <c r="E46" s="26">
        <f>F9+F11</f>
        <v>-204000</v>
      </c>
    </row>
    <row r="47" spans="2:26" x14ac:dyDescent="0.25">
      <c r="C47" s="22" t="s">
        <v>37</v>
      </c>
      <c r="D47" s="23"/>
      <c r="E47" s="36">
        <f>NPV(Assumptions!D18,F30:Y30)</f>
        <v>-118881.96824108734</v>
      </c>
    </row>
    <row r="48" spans="2:26" x14ac:dyDescent="0.25">
      <c r="C48" s="22" t="s">
        <v>26</v>
      </c>
      <c r="D48" s="23"/>
      <c r="E48" s="26">
        <f>SUM(E42:E47)</f>
        <v>70830.029999481805</v>
      </c>
    </row>
    <row r="49" spans="3:25" x14ac:dyDescent="0.25">
      <c r="C49" s="22" t="s">
        <v>25</v>
      </c>
      <c r="D49" s="23"/>
      <c r="E49" s="26">
        <f>MAX(0,E48)</f>
        <v>70830.029999481805</v>
      </c>
    </row>
    <row r="50" spans="3:25" x14ac:dyDescent="0.25">
      <c r="C50" s="27" t="s">
        <v>24</v>
      </c>
      <c r="D50" s="28"/>
      <c r="E50" s="29">
        <f>-E48+E49</f>
        <v>0</v>
      </c>
    </row>
    <row r="51" spans="3:25" x14ac:dyDescent="0.25">
      <c r="C51" s="6"/>
    </row>
    <row r="52" spans="3:25" x14ac:dyDescent="0.25">
      <c r="C52" s="3" t="s">
        <v>73</v>
      </c>
    </row>
    <row r="53" spans="3:25" x14ac:dyDescent="0.25">
      <c r="C53" s="37" t="s">
        <v>74</v>
      </c>
      <c r="D53" s="20"/>
      <c r="E53" s="20"/>
      <c r="F53" s="20">
        <v>0</v>
      </c>
      <c r="G53" s="20">
        <f>F61</f>
        <v>-306260.47817019193</v>
      </c>
      <c r="H53" s="20">
        <f t="shared" ref="H53:X53" si="9">G61</f>
        <v>-230634.91329699958</v>
      </c>
      <c r="I53" s="20">
        <f t="shared" si="9"/>
        <v>-174448.07862247957</v>
      </c>
      <c r="J53" s="20">
        <f t="shared" si="9"/>
        <v>-119317.08823690194</v>
      </c>
      <c r="K53" s="48">
        <f t="shared" si="9"/>
        <v>-61589.987294549763</v>
      </c>
      <c r="L53" s="48">
        <f t="shared" si="9"/>
        <v>-42797.441327941247</v>
      </c>
      <c r="M53" s="48">
        <f t="shared" si="9"/>
        <v>-24330.880097408815</v>
      </c>
      <c r="N53" s="48">
        <f t="shared" si="9"/>
        <v>-20059.678152518023</v>
      </c>
      <c r="O53" s="48">
        <f t="shared" si="9"/>
        <v>-29088.341933883246</v>
      </c>
      <c r="P53" s="48">
        <f t="shared" si="9"/>
        <v>-50591.632495041493</v>
      </c>
      <c r="Q53" s="48">
        <f t="shared" si="9"/>
        <v>-15634.048103742038</v>
      </c>
      <c r="R53" s="48">
        <f t="shared" si="9"/>
        <v>8446.8929685421899</v>
      </c>
      <c r="S53" s="48">
        <f t="shared" si="9"/>
        <v>27292.847890871024</v>
      </c>
      <c r="T53" s="48">
        <f t="shared" si="9"/>
        <v>41272.546961761225</v>
      </c>
      <c r="U53" s="48">
        <f t="shared" si="9"/>
        <v>46323.856780688795</v>
      </c>
      <c r="V53" s="48">
        <f t="shared" si="9"/>
        <v>47225.746462282914</v>
      </c>
      <c r="W53" s="48">
        <f t="shared" si="9"/>
        <v>44264.631398753474</v>
      </c>
      <c r="X53" s="48">
        <f t="shared" si="9"/>
        <v>33965.674857141508</v>
      </c>
      <c r="Y53" s="49">
        <f>X61</f>
        <v>16825.945162403132</v>
      </c>
    </row>
    <row r="54" spans="3:2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x14ac:dyDescent="0.25">
      <c r="C55" s="22" t="s">
        <v>77</v>
      </c>
      <c r="D55" s="23"/>
      <c r="E55" s="23"/>
      <c r="F55" s="23">
        <v>0</v>
      </c>
      <c r="G55" s="23">
        <v>0</v>
      </c>
      <c r="H55" s="23">
        <v>0</v>
      </c>
      <c r="I55" s="23">
        <v>0</v>
      </c>
      <c r="J55" s="41">
        <f>-NPV(Assumptions!H18,K23:Y23)--NPV(Assumptions!H18,K12:Y12)</f>
        <v>19786.652408301336</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x14ac:dyDescent="0.25">
      <c r="C56" s="22" t="s">
        <v>78</v>
      </c>
      <c r="D56" s="23"/>
      <c r="E56" s="23"/>
      <c r="F56" s="23">
        <f>F8</f>
        <v>205000</v>
      </c>
      <c r="G56" s="23">
        <f>G8</f>
        <v>194668</v>
      </c>
      <c r="H56" s="23">
        <f t="shared" ref="H56:X56" si="10">H8</f>
        <v>184856.7328</v>
      </c>
      <c r="I56" s="23">
        <f t="shared" si="10"/>
        <v>175521.46779360002</v>
      </c>
      <c r="J56" s="23">
        <f t="shared" si="10"/>
        <v>166657.63367002321</v>
      </c>
      <c r="K56" s="23">
        <f t="shared" si="10"/>
        <v>158224.75740632004</v>
      </c>
      <c r="L56" s="23">
        <f t="shared" si="10"/>
        <v>150202.76220581963</v>
      </c>
      <c r="M56" s="23">
        <f t="shared" si="10"/>
        <v>142587.48216198458</v>
      </c>
      <c r="N56" s="23">
        <f t="shared" si="10"/>
        <v>135344.03806815576</v>
      </c>
      <c r="O56" s="23">
        <f t="shared" si="10"/>
        <v>128455.02653048662</v>
      </c>
      <c r="P56" s="23">
        <f t="shared" si="10"/>
        <v>103757.19789292989</v>
      </c>
      <c r="Q56" s="23">
        <f t="shared" si="10"/>
        <v>98369.605392339523</v>
      </c>
      <c r="R56" s="23">
        <f t="shared" si="10"/>
        <v>93227.334270454972</v>
      </c>
      <c r="S56" s="23">
        <f t="shared" si="10"/>
        <v>88337.560587969609</v>
      </c>
      <c r="T56" s="23">
        <f t="shared" si="10"/>
        <v>83688.79646202772</v>
      </c>
      <c r="U56" s="23">
        <f t="shared" si="10"/>
        <v>79255.382469451797</v>
      </c>
      <c r="V56" s="23">
        <f t="shared" si="10"/>
        <v>75042.958891200426</v>
      </c>
      <c r="W56" s="23">
        <f t="shared" si="10"/>
        <v>71041.293108327169</v>
      </c>
      <c r="X56" s="23">
        <f t="shared" si="10"/>
        <v>67228.151700737697</v>
      </c>
      <c r="Y56" s="26">
        <f>Y8</f>
        <v>63596.150805105346</v>
      </c>
    </row>
    <row r="57" spans="3:25" x14ac:dyDescent="0.25">
      <c r="C57" s="22" t="s">
        <v>79</v>
      </c>
      <c r="D57" s="23"/>
      <c r="E57" s="23"/>
      <c r="F57" s="23">
        <f>SUM(F9:F12,F15)</f>
        <v>-314000</v>
      </c>
      <c r="G57" s="23">
        <f>SUM(G9:G12,G15)</f>
        <v>-114189.4</v>
      </c>
      <c r="H57" s="23">
        <f t="shared" ref="H57:J57" si="11">SUM(H9:H12,H15)</f>
        <v>-126469.05744000002</v>
      </c>
      <c r="I57" s="23">
        <f t="shared" si="11"/>
        <v>-120082.37003928001</v>
      </c>
      <c r="J57" s="23">
        <f t="shared" si="11"/>
        <v>-130277.49168595717</v>
      </c>
      <c r="K57" s="41">
        <f>SUM(K9:K11,K15)+K23</f>
        <v>-142981.1527293697</v>
      </c>
      <c r="L57" s="41">
        <f t="shared" ref="L57:Y57" si="12">SUM(L9:L11,L15)+L23</f>
        <v>-135732.00828599068</v>
      </c>
      <c r="M57" s="41">
        <f t="shared" si="12"/>
        <v>-142761.36933535285</v>
      </c>
      <c r="N57" s="41">
        <f t="shared" si="12"/>
        <v>-148713.38817001018</v>
      </c>
      <c r="O57" s="41">
        <f t="shared" si="12"/>
        <v>-153676.07442244803</v>
      </c>
      <c r="P57" s="41">
        <f t="shared" si="12"/>
        <v>-70718.721721760114</v>
      </c>
      <c r="Q57" s="41">
        <f t="shared" si="12"/>
        <v>-77401.347400814513</v>
      </c>
      <c r="R57" s="41">
        <f t="shared" si="12"/>
        <v>-78261.893769145114</v>
      </c>
      <c r="S57" s="41">
        <f t="shared" si="12"/>
        <v>-78806.402735057098</v>
      </c>
      <c r="T57" s="41">
        <f t="shared" si="12"/>
        <v>-83468.562787127652</v>
      </c>
      <c r="U57" s="41">
        <f t="shared" si="12"/>
        <v>-83218.151592924391</v>
      </c>
      <c r="V57" s="41">
        <f t="shared" si="12"/>
        <v>-82744.736251086797</v>
      </c>
      <c r="W57" s="41">
        <f t="shared" si="12"/>
        <v>-85810.4040440057</v>
      </c>
      <c r="X57" s="41">
        <f t="shared" si="12"/>
        <v>-88281.178154389767</v>
      </c>
      <c r="Y57" s="45">
        <f t="shared" si="12"/>
        <v>-83511.787504598862</v>
      </c>
    </row>
    <row r="58" spans="3:2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41">
        <f>(K53+K54)*Assumptions!I18+SUM(K8:K11)*Assumptions!I18</f>
        <v>3548.9412896581716</v>
      </c>
      <c r="L58" s="41">
        <f>(L53+L54)*Assumptions!J18+SUM(L8:L11)*Assumptions!J18</f>
        <v>3995.8073107034957</v>
      </c>
      <c r="M58" s="41">
        <f>(M53+M54)*Assumptions!K18+SUM(M8:M11)*Assumptions!K18</f>
        <v>4445.0891182590613</v>
      </c>
      <c r="N58" s="41">
        <f>(N53+N54)*Assumptions!L18+SUM(N8:N11)*Assumptions!L18</f>
        <v>4340.6863204891988</v>
      </c>
      <c r="O58" s="41">
        <f>(O53+O54)*Assumptions!M18+SUM(O8:O11)*Assumptions!M18</f>
        <v>3717.7573308031615</v>
      </c>
      <c r="P58" s="41">
        <f>(P53+P54)*Assumptions!N18+SUM(P8:P11)*Assumptions!N18</f>
        <v>1919.1082201296763</v>
      </c>
      <c r="Q58" s="41">
        <f>(Q53+Q54)*Assumptions!O18+SUM(Q8:Q11)*Assumptions!O18</f>
        <v>3112.6830807592205</v>
      </c>
      <c r="R58" s="41">
        <f>(R53+R54)*Assumptions!P18+SUM(R8:R11)*Assumptions!P18</f>
        <v>3880.5144210189769</v>
      </c>
      <c r="S58" s="41">
        <f>(S53+S54)*Assumptions!Q18+SUM(S8:S11)*Assumptions!Q18</f>
        <v>4448.5412179776868</v>
      </c>
      <c r="T58" s="41">
        <f>(T53+T54)*Assumptions!R18+SUM(T8:T11)*Assumptions!R18</f>
        <v>4831.0761440275019</v>
      </c>
      <c r="U58" s="41">
        <f>(U53+U54)*Assumptions!S18+SUM(U8:U11)*Assumptions!S18</f>
        <v>4864.6588050667197</v>
      </c>
      <c r="V58" s="41">
        <f>(V53+V54)*Assumptions!T18+SUM(V8:V11)*Assumptions!T18</f>
        <v>4740.6622963569325</v>
      </c>
      <c r="W58" s="41">
        <f>(W53+W54)*Assumptions!U18+SUM(W8:W11)*Assumptions!U18</f>
        <v>4470.1543940665715</v>
      </c>
      <c r="X58" s="41">
        <f>(X53+X54)*Assumptions!V18+SUM(X8:X11)*Assumptions!V18</f>
        <v>3913.2967589136933</v>
      </c>
      <c r="Y58" s="45">
        <f>(Y53+Y54)*Assumptions!W18+SUM(Y8:Y11)*Assumptions!W18</f>
        <v>3089.6915370901288</v>
      </c>
    </row>
    <row r="59" spans="3:25" x14ac:dyDescent="0.25">
      <c r="C59" s="38" t="s">
        <v>81</v>
      </c>
      <c r="D59" s="23"/>
      <c r="E59" s="23"/>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6">
        <v>0</v>
      </c>
    </row>
    <row r="60" spans="3:2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x14ac:dyDescent="0.25">
      <c r="C61" s="39" t="s">
        <v>75</v>
      </c>
      <c r="D61" s="28"/>
      <c r="E61" s="28"/>
      <c r="F61" s="28">
        <f>SUM(F53:F60)</f>
        <v>-306260.47817019193</v>
      </c>
      <c r="G61" s="28">
        <f>SUM(G53:G60)</f>
        <v>-230634.91329699958</v>
      </c>
      <c r="H61" s="28">
        <f t="shared" ref="H61:Y61" si="13">SUM(H53:H60)</f>
        <v>-174448.07862247957</v>
      </c>
      <c r="I61" s="28">
        <f t="shared" si="13"/>
        <v>-119317.08823690194</v>
      </c>
      <c r="J61" s="46">
        <f>SUM(J53:J60)</f>
        <v>-61589.987294549763</v>
      </c>
      <c r="K61" s="46">
        <f t="shared" si="13"/>
        <v>-42797.441327941247</v>
      </c>
      <c r="L61" s="46">
        <f t="shared" si="13"/>
        <v>-24330.880097408815</v>
      </c>
      <c r="M61" s="46">
        <f t="shared" si="13"/>
        <v>-20059.678152518023</v>
      </c>
      <c r="N61" s="46">
        <f t="shared" si="13"/>
        <v>-29088.341933883246</v>
      </c>
      <c r="O61" s="46">
        <f t="shared" si="13"/>
        <v>-50591.632495041493</v>
      </c>
      <c r="P61" s="46">
        <f t="shared" si="13"/>
        <v>-15634.048103742038</v>
      </c>
      <c r="Q61" s="46">
        <f t="shared" si="13"/>
        <v>8446.8929685421899</v>
      </c>
      <c r="R61" s="46">
        <f t="shared" si="13"/>
        <v>27292.847890871024</v>
      </c>
      <c r="S61" s="46">
        <f t="shared" si="13"/>
        <v>41272.546961761225</v>
      </c>
      <c r="T61" s="46">
        <f t="shared" si="13"/>
        <v>46323.856780688795</v>
      </c>
      <c r="U61" s="46">
        <f t="shared" si="13"/>
        <v>47225.746462282914</v>
      </c>
      <c r="V61" s="46">
        <f t="shared" si="13"/>
        <v>44264.631398753474</v>
      </c>
      <c r="W61" s="46">
        <f t="shared" si="13"/>
        <v>33965.674857141508</v>
      </c>
      <c r="X61" s="46">
        <f t="shared" si="13"/>
        <v>16825.945162403132</v>
      </c>
      <c r="Y61" s="47">
        <f t="shared" si="13"/>
        <v>-2.5920599000528455E-10</v>
      </c>
    </row>
    <row r="62" spans="3:25" x14ac:dyDescent="0.25">
      <c r="C62" s="6"/>
    </row>
    <row r="63" spans="3:25" x14ac:dyDescent="0.25">
      <c r="C63" s="3" t="s">
        <v>83</v>
      </c>
    </row>
    <row r="64" spans="3:25" x14ac:dyDescent="0.25">
      <c r="C64" s="37" t="s">
        <v>74</v>
      </c>
      <c r="D64" s="20"/>
      <c r="E64" s="20"/>
      <c r="F64" s="20">
        <v>0</v>
      </c>
      <c r="G64" s="20">
        <f>F72</f>
        <v>115637.24697073083</v>
      </c>
      <c r="H64" s="20">
        <f t="shared" ref="H64:Y64" si="14">G72</f>
        <v>112665.93684956006</v>
      </c>
      <c r="I64" s="20">
        <f t="shared" si="14"/>
        <v>108155.17272354248</v>
      </c>
      <c r="J64" s="20">
        <f t="shared" si="14"/>
        <v>103919.35681328418</v>
      </c>
      <c r="K64" s="20">
        <f t="shared" si="14"/>
        <v>98320.56228561906</v>
      </c>
      <c r="L64" s="20">
        <f t="shared" si="14"/>
        <v>91447.791588319538</v>
      </c>
      <c r="M64" s="20">
        <f t="shared" si="14"/>
        <v>84847.953637796338</v>
      </c>
      <c r="N64" s="20">
        <f t="shared" si="14"/>
        <v>77113.092687738666</v>
      </c>
      <c r="O64" s="20">
        <f t="shared" si="14"/>
        <v>68313.74963804429</v>
      </c>
      <c r="P64" s="20">
        <f t="shared" si="14"/>
        <v>58514.101913274688</v>
      </c>
      <c r="Q64" s="20">
        <f t="shared" si="14"/>
        <v>54847.670322320257</v>
      </c>
      <c r="R64" s="20">
        <f t="shared" si="14"/>
        <v>50311.025187316154</v>
      </c>
      <c r="S64" s="20">
        <f t="shared" si="14"/>
        <v>45454.083669617379</v>
      </c>
      <c r="T64" s="20">
        <f t="shared" si="14"/>
        <v>40298.229075246578</v>
      </c>
      <c r="U64" s="20">
        <f t="shared" si="14"/>
        <v>34422.213291653956</v>
      </c>
      <c r="V64" s="20">
        <f t="shared" si="14"/>
        <v>28290.697168319421</v>
      </c>
      <c r="W64" s="20">
        <f t="shared" si="14"/>
        <v>21918.029165932156</v>
      </c>
      <c r="X64" s="20">
        <f t="shared" si="14"/>
        <v>14942.817936385913</v>
      </c>
      <c r="Y64" s="21">
        <f t="shared" si="14"/>
        <v>7402.3859742783643</v>
      </c>
    </row>
    <row r="65" spans="3:2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23">
        <f>(O64+O65)*Assumptions!M18</f>
        <v>2732.5499855217718</v>
      </c>
      <c r="P69" s="23">
        <f>(P64+P65)*Assumptions!N18</f>
        <v>2340.5640765309877</v>
      </c>
      <c r="Q69" s="23">
        <f>(Q64+Q65)*Assumptions!O18</f>
        <v>2193.9068128928102</v>
      </c>
      <c r="R69" s="23">
        <f>(R64+R65)*Assumptions!P18</f>
        <v>2012.4410074926461</v>
      </c>
      <c r="S69" s="23">
        <f>(S64+S65)*Assumptions!Q18</f>
        <v>1818.1633467846952</v>
      </c>
      <c r="T69" s="23">
        <f>(T64+T65)*Assumptions!R18</f>
        <v>1611.9291630098633</v>
      </c>
      <c r="U69" s="23">
        <f>(U64+U65)*Assumptions!S18</f>
        <v>1376.8885316661583</v>
      </c>
      <c r="V69" s="23">
        <f>(V64+V65)*Assumptions!T18</f>
        <v>1131.6278867327769</v>
      </c>
      <c r="W69" s="23">
        <f>(W64+W65)*Assumptions!U18</f>
        <v>876.72116663728627</v>
      </c>
      <c r="X69" s="23">
        <f>(X64+X65)*Assumptions!V18</f>
        <v>597.71271745543652</v>
      </c>
      <c r="Y69" s="26">
        <f>(Y64+Y65)*Assumptions!W18</f>
        <v>296.09543897113457</v>
      </c>
    </row>
    <row r="70" spans="3:25" x14ac:dyDescent="0.25">
      <c r="C70" s="38" t="s">
        <v>81</v>
      </c>
      <c r="D70" s="23"/>
      <c r="E70" s="23"/>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6">
        <v>0</v>
      </c>
    </row>
    <row r="71" spans="3:25" x14ac:dyDescent="0.25">
      <c r="C71" s="38" t="s">
        <v>82</v>
      </c>
      <c r="D71" s="23"/>
      <c r="E71" s="23"/>
      <c r="F71" s="23">
        <f>F30</f>
        <v>-8000</v>
      </c>
      <c r="G71" s="23">
        <f>G30</f>
        <v>-7596.8</v>
      </c>
      <c r="H71" s="23">
        <f t="shared" ref="H71:Y71" si="15">H30</f>
        <v>-9017.4016000000029</v>
      </c>
      <c r="I71" s="23">
        <f t="shared" si="15"/>
        <v>-8562.0228192000013</v>
      </c>
      <c r="J71" s="23">
        <f t="shared" si="15"/>
        <v>-9755.5688001964809</v>
      </c>
      <c r="K71" s="23">
        <f t="shared" si="15"/>
        <v>-10805.593188724297</v>
      </c>
      <c r="L71" s="23">
        <f t="shared" si="15"/>
        <v>-10257.749614055976</v>
      </c>
      <c r="M71" s="23">
        <f t="shared" si="15"/>
        <v>-11128.779095569529</v>
      </c>
      <c r="N71" s="23">
        <f t="shared" si="15"/>
        <v>-11883.866757203921</v>
      </c>
      <c r="O71" s="23">
        <f t="shared" si="15"/>
        <v>-12532.197710291379</v>
      </c>
      <c r="P71" s="23">
        <f t="shared" si="15"/>
        <v>-6006.9956674854157</v>
      </c>
      <c r="Q71" s="23">
        <f t="shared" si="15"/>
        <v>-6730.5519478969145</v>
      </c>
      <c r="R71" s="23">
        <f t="shared" si="15"/>
        <v>-6869.3825251914213</v>
      </c>
      <c r="S71" s="23">
        <f t="shared" si="15"/>
        <v>-6974.0179411554964</v>
      </c>
      <c r="T71" s="23">
        <f t="shared" si="15"/>
        <v>-7487.9449466024807</v>
      </c>
      <c r="U71" s="23">
        <f t="shared" si="15"/>
        <v>-7508.4046550006969</v>
      </c>
      <c r="V71" s="23">
        <f t="shared" si="15"/>
        <v>-7504.2958891200433</v>
      </c>
      <c r="W71" s="23">
        <f t="shared" si="15"/>
        <v>-7851.9323961835289</v>
      </c>
      <c r="X71" s="23">
        <f t="shared" si="15"/>
        <v>-8138.1446795629854</v>
      </c>
      <c r="Y71" s="26">
        <f t="shared" si="15"/>
        <v>-7698.4814132495949</v>
      </c>
    </row>
    <row r="72" spans="3:25" x14ac:dyDescent="0.25">
      <c r="C72" s="39" t="s">
        <v>75</v>
      </c>
      <c r="D72" s="28"/>
      <c r="E72" s="28"/>
      <c r="F72" s="28">
        <f>SUM(F64:F71)</f>
        <v>115637.24697073083</v>
      </c>
      <c r="G72" s="28">
        <f>SUM(G64:G71)</f>
        <v>112665.93684956006</v>
      </c>
      <c r="H72" s="28">
        <f t="shared" ref="H72:Y72" si="16">SUM(H64:H71)</f>
        <v>108155.17272354248</v>
      </c>
      <c r="I72" s="28">
        <f t="shared" si="16"/>
        <v>103919.35681328418</v>
      </c>
      <c r="J72" s="28">
        <f t="shared" si="16"/>
        <v>98320.56228561906</v>
      </c>
      <c r="K72" s="28">
        <f t="shared" si="16"/>
        <v>91447.791588319538</v>
      </c>
      <c r="L72" s="28">
        <f t="shared" si="16"/>
        <v>84847.953637796338</v>
      </c>
      <c r="M72" s="28">
        <f t="shared" si="16"/>
        <v>77113.092687738666</v>
      </c>
      <c r="N72" s="28">
        <f t="shared" si="16"/>
        <v>68313.74963804429</v>
      </c>
      <c r="O72" s="28">
        <f t="shared" si="16"/>
        <v>58514.101913274688</v>
      </c>
      <c r="P72" s="28">
        <f t="shared" si="16"/>
        <v>54847.670322320257</v>
      </c>
      <c r="Q72" s="28">
        <f t="shared" si="16"/>
        <v>50311.025187316154</v>
      </c>
      <c r="R72" s="28">
        <f t="shared" si="16"/>
        <v>45454.083669617379</v>
      </c>
      <c r="S72" s="28">
        <f t="shared" si="16"/>
        <v>40298.229075246578</v>
      </c>
      <c r="T72" s="28">
        <f t="shared" si="16"/>
        <v>34422.213291653956</v>
      </c>
      <c r="U72" s="28">
        <f t="shared" si="16"/>
        <v>28290.697168319421</v>
      </c>
      <c r="V72" s="28">
        <f t="shared" si="16"/>
        <v>21918.029165932156</v>
      </c>
      <c r="W72" s="28">
        <f t="shared" si="16"/>
        <v>14942.817936385913</v>
      </c>
      <c r="X72" s="28">
        <f t="shared" si="16"/>
        <v>7402.3859742783643</v>
      </c>
      <c r="Y72" s="29">
        <f t="shared" si="16"/>
        <v>-9.6406438387930393E-11</v>
      </c>
    </row>
    <row r="73" spans="3:25" x14ac:dyDescent="0.25">
      <c r="C73" s="6"/>
    </row>
    <row r="74" spans="3:25" x14ac:dyDescent="0.25">
      <c r="C74" s="3" t="s">
        <v>84</v>
      </c>
    </row>
    <row r="75" spans="3:25" x14ac:dyDescent="0.25">
      <c r="C75" s="37" t="s">
        <v>74</v>
      </c>
      <c r="D75" s="20"/>
      <c r="E75" s="20"/>
      <c r="F75" s="20">
        <v>0</v>
      </c>
      <c r="G75" s="20">
        <f>F83</f>
        <v>65696.035804775805</v>
      </c>
      <c r="H75" s="20">
        <f t="shared" ref="H75:Y75" si="17">G83</f>
        <v>60455.602540301981</v>
      </c>
      <c r="I75" s="20">
        <f t="shared" si="17"/>
        <v>55103.244443882992</v>
      </c>
      <c r="J75" s="20">
        <f t="shared" si="17"/>
        <v>49634.079712726583</v>
      </c>
      <c r="K75" s="48">
        <f t="shared" si="17"/>
        <v>27160.050959487955</v>
      </c>
      <c r="L75" s="48">
        <f t="shared" si="17"/>
        <v>23632.702128291341</v>
      </c>
      <c r="M75" s="48">
        <f t="shared" si="17"/>
        <v>20022.983164914829</v>
      </c>
      <c r="N75" s="48">
        <f t="shared" si="17"/>
        <v>16326.851827276665</v>
      </c>
      <c r="O75" s="48">
        <f t="shared" si="17"/>
        <v>12540.581390256437</v>
      </c>
      <c r="P75" s="48">
        <f t="shared" si="17"/>
        <v>8660.2874963382001</v>
      </c>
      <c r="Q75" s="48">
        <f t="shared" si="17"/>
        <v>7871.9577311498288</v>
      </c>
      <c r="R75" s="48">
        <f t="shared" si="17"/>
        <v>7067.9834225470404</v>
      </c>
      <c r="S75" s="48">
        <f t="shared" si="17"/>
        <v>6247.9235783081549</v>
      </c>
      <c r="T75" s="48">
        <f t="shared" si="17"/>
        <v>5411.1045718269506</v>
      </c>
      <c r="U75" s="48">
        <f t="shared" si="17"/>
        <v>4556.8204256243043</v>
      </c>
      <c r="V75" s="48">
        <f t="shared" si="17"/>
        <v>3684.5264869726216</v>
      </c>
      <c r="W75" s="48">
        <f t="shared" si="17"/>
        <v>2793.4503525345885</v>
      </c>
      <c r="X75" s="48">
        <f t="shared" si="17"/>
        <v>1882.7836440226024</v>
      </c>
      <c r="Y75" s="49">
        <f t="shared" si="17"/>
        <v>951.8667546913257</v>
      </c>
    </row>
    <row r="76" spans="3:2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x14ac:dyDescent="0.25">
      <c r="C77" s="22" t="s">
        <v>77</v>
      </c>
      <c r="D77" s="23"/>
      <c r="E77" s="23"/>
      <c r="F77" s="23">
        <v>0</v>
      </c>
      <c r="G77" s="23">
        <v>0</v>
      </c>
      <c r="H77" s="23">
        <v>0</v>
      </c>
      <c r="I77" s="23">
        <v>0</v>
      </c>
      <c r="J77" s="41">
        <f>-J55</f>
        <v>-19786.652408301336</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41">
        <f>(K75+K76)*Assumptions!I20</f>
        <v>1086.4020383795182</v>
      </c>
      <c r="L80" s="41">
        <f>(L75+L76)*Assumptions!J20</f>
        <v>945.30808513165368</v>
      </c>
      <c r="M80" s="41">
        <f>(M75+M76)*Assumptions!K20</f>
        <v>800.91932659659324</v>
      </c>
      <c r="N80" s="41">
        <f>(N75+N76)*Assumptions!L20</f>
        <v>653.07407309106657</v>
      </c>
      <c r="O80" s="41">
        <f>(O75+O76)*Assumptions!M20</f>
        <v>501.6232556102575</v>
      </c>
      <c r="P80" s="41">
        <f>(P75+P76)*Assumptions!N20</f>
        <v>346.41149985352803</v>
      </c>
      <c r="Q80" s="41">
        <f>(Q75+Q76)*Assumptions!O20</f>
        <v>314.87830924599314</v>
      </c>
      <c r="R80" s="41">
        <f>(R75+R76)*Assumptions!P20</f>
        <v>282.7193369018816</v>
      </c>
      <c r="S80" s="41">
        <f>(S75+S76)*Assumptions!Q20</f>
        <v>249.9169431323262</v>
      </c>
      <c r="T80" s="41">
        <f>(T75+T76)*Assumptions!R20</f>
        <v>216.44418287307803</v>
      </c>
      <c r="U80" s="41">
        <f>(U75+U76)*Assumptions!S20</f>
        <v>182.27281702497217</v>
      </c>
      <c r="V80" s="41">
        <f>(V75+V76)*Assumptions!T20</f>
        <v>147.38105947890486</v>
      </c>
      <c r="W80" s="41">
        <f>(W75+W76)*Assumptions!U20</f>
        <v>111.73801410138354</v>
      </c>
      <c r="X80" s="41">
        <f>(X75+X76)*Assumptions!V20</f>
        <v>75.311345760904103</v>
      </c>
      <c r="Y80" s="45">
        <f>(Y75+Y76)*Assumptions!W20</f>
        <v>38.074670187653027</v>
      </c>
    </row>
    <row r="81" spans="3:25" x14ac:dyDescent="0.25">
      <c r="C81" s="38" t="s">
        <v>81</v>
      </c>
      <c r="D81" s="23"/>
      <c r="E81" s="23"/>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6">
        <v>0</v>
      </c>
    </row>
    <row r="82" spans="3:25" x14ac:dyDescent="0.25">
      <c r="C82" s="38" t="s">
        <v>82</v>
      </c>
      <c r="D82" s="23"/>
      <c r="E82" s="23"/>
      <c r="F82" s="23">
        <f>-SUM(F75:F81)*F36/SUM(F36:$Y$36)</f>
        <v>-7967.1953946852755</v>
      </c>
      <c r="G82" s="23">
        <f>-SUM(G75:G81)*G36/SUM(G36:$Y$36)</f>
        <v>-7868.2746966648656</v>
      </c>
      <c r="H82" s="23">
        <f>-SUM(H75:H81)*H36/SUM(H36:$Y$36)</f>
        <v>-7770.5821980310729</v>
      </c>
      <c r="I82" s="23">
        <f>-SUM(I75:I81)*I36/SUM(I36:$Y$36)</f>
        <v>-7673.2945089117256</v>
      </c>
      <c r="J82" s="41">
        <f>-SUM(J75:J81)*J36/SUM(J36:$Y$36)</f>
        <v>-4672.7395334463563</v>
      </c>
      <c r="K82" s="41">
        <f>-SUM(K75:K81)*K36/SUM(K36:$Y$36)</f>
        <v>-4613.7508695761308</v>
      </c>
      <c r="L82" s="41">
        <f>-SUM(L75:L81)*L36/SUM(L36:$Y$36)</f>
        <v>-4555.0270485081683</v>
      </c>
      <c r="M82" s="41">
        <f>-SUM(M75:M81)*M36/SUM(M36:$Y$36)</f>
        <v>-4497.0506642347555</v>
      </c>
      <c r="N82" s="41">
        <f>-SUM(N75:N81)*N36/SUM(N36:$Y$36)</f>
        <v>-4439.3445101112957</v>
      </c>
      <c r="O82" s="41">
        <f>-SUM(O75:O81)*O36/SUM(O36:$Y$36)</f>
        <v>-4381.9171495284936</v>
      </c>
      <c r="P82" s="41">
        <f>-SUM(P75:P81)*P36/SUM(P36:$Y$36)</f>
        <v>-1134.7412650418987</v>
      </c>
      <c r="Q82" s="41">
        <f>-SUM(Q75:Q81)*Q36/SUM(Q36:$Y$36)</f>
        <v>-1118.8526178487821</v>
      </c>
      <c r="R82" s="41">
        <f>-SUM(R75:R81)*R36/SUM(R36:$Y$36)</f>
        <v>-1102.7791811407669</v>
      </c>
      <c r="S82" s="41">
        <f>-SUM(S75:S81)*S36/SUM(S36:$Y$36)</f>
        <v>-1086.7359496135309</v>
      </c>
      <c r="T82" s="41">
        <f>-SUM(T75:T81)*T36/SUM(T36:$Y$36)</f>
        <v>-1070.7283290757237</v>
      </c>
      <c r="U82" s="41">
        <f>-SUM(U75:U81)*U36/SUM(U36:$Y$36)</f>
        <v>-1054.5667556766546</v>
      </c>
      <c r="V82" s="41">
        <f>-SUM(V75:V81)*V36/SUM(V36:$Y$36)</f>
        <v>-1038.4571939169377</v>
      </c>
      <c r="W82" s="41">
        <f>-SUM(W75:W81)*W36/SUM(W36:$Y$36)</f>
        <v>-1022.4047226133697</v>
      </c>
      <c r="X82" s="41">
        <f>-SUM(X75:X81)*X36/SUM(X36:$Y$36)</f>
        <v>-1006.2282350921807</v>
      </c>
      <c r="Y82" s="45">
        <f>-SUM(Y75:Y81)*Y36/SUM(Y36:$Y$36)</f>
        <v>-989.94142487897875</v>
      </c>
    </row>
    <row r="83" spans="3:25" x14ac:dyDescent="0.25">
      <c r="C83" s="39" t="s">
        <v>75</v>
      </c>
      <c r="D83" s="28"/>
      <c r="E83" s="28"/>
      <c r="F83" s="28">
        <f>SUM(F75:F82)</f>
        <v>65696.035804775805</v>
      </c>
      <c r="G83" s="28">
        <f>SUM(G75:G82)</f>
        <v>60455.602540301981</v>
      </c>
      <c r="H83" s="28">
        <f t="shared" ref="H83:Y83" si="18">SUM(H75:H82)</f>
        <v>55103.244443882992</v>
      </c>
      <c r="I83" s="28">
        <f t="shared" si="18"/>
        <v>49634.079712726583</v>
      </c>
      <c r="J83" s="46">
        <f t="shared" si="18"/>
        <v>27160.050959487955</v>
      </c>
      <c r="K83" s="46">
        <f t="shared" si="18"/>
        <v>23632.702128291341</v>
      </c>
      <c r="L83" s="46">
        <f t="shared" si="18"/>
        <v>20022.983164914829</v>
      </c>
      <c r="M83" s="46">
        <f t="shared" si="18"/>
        <v>16326.851827276665</v>
      </c>
      <c r="N83" s="46">
        <f t="shared" si="18"/>
        <v>12540.581390256437</v>
      </c>
      <c r="O83" s="46">
        <f t="shared" si="18"/>
        <v>8660.2874963382001</v>
      </c>
      <c r="P83" s="46">
        <f t="shared" si="18"/>
        <v>7871.9577311498288</v>
      </c>
      <c r="Q83" s="46">
        <f t="shared" si="18"/>
        <v>7067.9834225470404</v>
      </c>
      <c r="R83" s="46">
        <f t="shared" si="18"/>
        <v>6247.9235783081549</v>
      </c>
      <c r="S83" s="46">
        <f t="shared" si="18"/>
        <v>5411.1045718269506</v>
      </c>
      <c r="T83" s="46">
        <f t="shared" si="18"/>
        <v>4556.8204256243043</v>
      </c>
      <c r="U83" s="46">
        <f t="shared" si="18"/>
        <v>3684.5264869726216</v>
      </c>
      <c r="V83" s="46">
        <f t="shared" si="18"/>
        <v>2793.4503525345885</v>
      </c>
      <c r="W83" s="46">
        <f t="shared" si="18"/>
        <v>1882.7836440226024</v>
      </c>
      <c r="X83" s="46">
        <f t="shared" si="18"/>
        <v>951.8667546913257</v>
      </c>
      <c r="Y83" s="47">
        <f t="shared" si="18"/>
        <v>0</v>
      </c>
    </row>
    <row r="85" spans="3:25" x14ac:dyDescent="0.25">
      <c r="C85" s="3" t="s">
        <v>85</v>
      </c>
    </row>
    <row r="86" spans="3:25" x14ac:dyDescent="0.25">
      <c r="C86" s="37" t="s">
        <v>74</v>
      </c>
      <c r="D86" s="20"/>
      <c r="E86" s="20"/>
      <c r="F86" s="20">
        <f>F53+F64+F75</f>
        <v>0</v>
      </c>
      <c r="G86" s="20">
        <f t="shared" ref="G86:Y86" si="19">G53+G64+G75</f>
        <v>-124927.19539468529</v>
      </c>
      <c r="H86" s="20">
        <f t="shared" si="19"/>
        <v>-57513.373907137538</v>
      </c>
      <c r="I86" s="20">
        <f t="shared" si="19"/>
        <v>-11189.661455054105</v>
      </c>
      <c r="J86" s="20">
        <f t="shared" si="19"/>
        <v>34236.348289108821</v>
      </c>
      <c r="K86" s="20">
        <f t="shared" si="19"/>
        <v>63890.625950557253</v>
      </c>
      <c r="L86" s="20">
        <f t="shared" si="19"/>
        <v>72283.052388669632</v>
      </c>
      <c r="M86" s="20">
        <f t="shared" si="19"/>
        <v>80540.056705302355</v>
      </c>
      <c r="N86" s="20">
        <f t="shared" si="19"/>
        <v>73380.266362497307</v>
      </c>
      <c r="O86" s="20">
        <f t="shared" si="19"/>
        <v>51765.989094417484</v>
      </c>
      <c r="P86" s="20">
        <f t="shared" si="19"/>
        <v>16582.756914571393</v>
      </c>
      <c r="Q86" s="20">
        <f t="shared" si="19"/>
        <v>47085.579949728046</v>
      </c>
      <c r="R86" s="20">
        <f t="shared" si="19"/>
        <v>65825.901578405377</v>
      </c>
      <c r="S86" s="20">
        <f t="shared" si="19"/>
        <v>78994.855138796556</v>
      </c>
      <c r="T86" s="20">
        <f t="shared" si="19"/>
        <v>86981.880608834748</v>
      </c>
      <c r="U86" s="20">
        <f t="shared" si="19"/>
        <v>85302.890497967062</v>
      </c>
      <c r="V86" s="20">
        <f t="shared" si="19"/>
        <v>79200.970117574951</v>
      </c>
      <c r="W86" s="20">
        <f t="shared" si="19"/>
        <v>68976.110917220227</v>
      </c>
      <c r="X86" s="20">
        <f t="shared" si="19"/>
        <v>50791.276437550019</v>
      </c>
      <c r="Y86" s="21">
        <f t="shared" si="19"/>
        <v>25180.197891372824</v>
      </c>
    </row>
    <row r="87" spans="3:25" x14ac:dyDescent="0.25">
      <c r="C87" s="22" t="s">
        <v>76</v>
      </c>
      <c r="D87" s="23"/>
      <c r="E87" s="23"/>
      <c r="F87" s="23">
        <f t="shared" ref="F87:Y90" si="20">F54+F65+F76</f>
        <v>0</v>
      </c>
      <c r="G87" s="23">
        <f t="shared" si="20"/>
        <v>0</v>
      </c>
      <c r="H87" s="23">
        <f t="shared" si="20"/>
        <v>0</v>
      </c>
      <c r="I87" s="23">
        <f t="shared" si="20"/>
        <v>0</v>
      </c>
      <c r="J87" s="23">
        <f t="shared" si="20"/>
        <v>0</v>
      </c>
      <c r="K87" s="23">
        <f t="shared" si="20"/>
        <v>0</v>
      </c>
      <c r="L87" s="23">
        <f t="shared" si="20"/>
        <v>0</v>
      </c>
      <c r="M87" s="23">
        <f t="shared" si="20"/>
        <v>0</v>
      </c>
      <c r="N87" s="23">
        <f t="shared" si="20"/>
        <v>0</v>
      </c>
      <c r="O87" s="23">
        <f t="shared" si="20"/>
        <v>0</v>
      </c>
      <c r="P87" s="23">
        <f t="shared" si="20"/>
        <v>0</v>
      </c>
      <c r="Q87" s="23">
        <f t="shared" si="20"/>
        <v>0</v>
      </c>
      <c r="R87" s="23">
        <f t="shared" si="20"/>
        <v>0</v>
      </c>
      <c r="S87" s="23">
        <f t="shared" si="20"/>
        <v>0</v>
      </c>
      <c r="T87" s="23">
        <f t="shared" si="20"/>
        <v>0</v>
      </c>
      <c r="U87" s="23">
        <f t="shared" si="20"/>
        <v>0</v>
      </c>
      <c r="V87" s="23">
        <f t="shared" si="20"/>
        <v>0</v>
      </c>
      <c r="W87" s="23">
        <f t="shared" si="20"/>
        <v>0</v>
      </c>
      <c r="X87" s="23">
        <f t="shared" si="20"/>
        <v>0</v>
      </c>
      <c r="Y87" s="26">
        <f t="shared" si="20"/>
        <v>0</v>
      </c>
    </row>
    <row r="88" spans="3:25" x14ac:dyDescent="0.25">
      <c r="C88" s="22" t="s">
        <v>77</v>
      </c>
      <c r="D88" s="23"/>
      <c r="E88" s="23"/>
      <c r="F88" s="23">
        <f t="shared" si="20"/>
        <v>0</v>
      </c>
      <c r="G88" s="23">
        <f t="shared" si="20"/>
        <v>0</v>
      </c>
      <c r="H88" s="23">
        <f t="shared" si="20"/>
        <v>0</v>
      </c>
      <c r="I88" s="23">
        <f t="shared" si="20"/>
        <v>0</v>
      </c>
      <c r="J88" s="23">
        <f t="shared" si="20"/>
        <v>0</v>
      </c>
      <c r="K88" s="23">
        <f t="shared" si="20"/>
        <v>0</v>
      </c>
      <c r="L88" s="23">
        <f t="shared" si="20"/>
        <v>0</v>
      </c>
      <c r="M88" s="23">
        <f t="shared" si="20"/>
        <v>0</v>
      </c>
      <c r="N88" s="23">
        <f t="shared" si="20"/>
        <v>0</v>
      </c>
      <c r="O88" s="23">
        <f t="shared" si="20"/>
        <v>0</v>
      </c>
      <c r="P88" s="23">
        <f t="shared" si="20"/>
        <v>0</v>
      </c>
      <c r="Q88" s="23">
        <f t="shared" si="20"/>
        <v>0</v>
      </c>
      <c r="R88" s="23">
        <f t="shared" si="20"/>
        <v>0</v>
      </c>
      <c r="S88" s="23">
        <f t="shared" si="20"/>
        <v>0</v>
      </c>
      <c r="T88" s="23">
        <f t="shared" si="20"/>
        <v>0</v>
      </c>
      <c r="U88" s="23">
        <f t="shared" si="20"/>
        <v>0</v>
      </c>
      <c r="V88" s="23">
        <f t="shared" si="20"/>
        <v>0</v>
      </c>
      <c r="W88" s="23">
        <f t="shared" si="20"/>
        <v>0</v>
      </c>
      <c r="X88" s="23">
        <f t="shared" si="20"/>
        <v>0</v>
      </c>
      <c r="Y88" s="26">
        <f t="shared" si="20"/>
        <v>0</v>
      </c>
    </row>
    <row r="89" spans="3:25" x14ac:dyDescent="0.25">
      <c r="C89" s="22" t="s">
        <v>78</v>
      </c>
      <c r="D89" s="23"/>
      <c r="E89" s="23"/>
      <c r="F89" s="23">
        <f t="shared" si="20"/>
        <v>205000</v>
      </c>
      <c r="G89" s="23">
        <f t="shared" si="20"/>
        <v>194668</v>
      </c>
      <c r="H89" s="23">
        <f t="shared" si="20"/>
        <v>184856.7328</v>
      </c>
      <c r="I89" s="23">
        <f t="shared" si="20"/>
        <v>175521.46779360002</v>
      </c>
      <c r="J89" s="23">
        <f t="shared" si="20"/>
        <v>166657.63367002321</v>
      </c>
      <c r="K89" s="23">
        <f t="shared" si="20"/>
        <v>158224.75740632004</v>
      </c>
      <c r="L89" s="23">
        <f t="shared" si="20"/>
        <v>150202.76220581963</v>
      </c>
      <c r="M89" s="23">
        <f t="shared" si="20"/>
        <v>142587.48216198458</v>
      </c>
      <c r="N89" s="23">
        <f t="shared" si="20"/>
        <v>135344.03806815576</v>
      </c>
      <c r="O89" s="23">
        <f t="shared" si="20"/>
        <v>128455.02653048662</v>
      </c>
      <c r="P89" s="23">
        <f t="shared" si="20"/>
        <v>103757.19789292989</v>
      </c>
      <c r="Q89" s="23">
        <f t="shared" si="20"/>
        <v>98369.605392339523</v>
      </c>
      <c r="R89" s="23">
        <f t="shared" si="20"/>
        <v>93227.334270454972</v>
      </c>
      <c r="S89" s="23">
        <f t="shared" si="20"/>
        <v>88337.560587969609</v>
      </c>
      <c r="T89" s="23">
        <f t="shared" si="20"/>
        <v>83688.79646202772</v>
      </c>
      <c r="U89" s="23">
        <f t="shared" si="20"/>
        <v>79255.382469451797</v>
      </c>
      <c r="V89" s="23">
        <f t="shared" si="20"/>
        <v>75042.958891200426</v>
      </c>
      <c r="W89" s="23">
        <f t="shared" si="20"/>
        <v>71041.293108327169</v>
      </c>
      <c r="X89" s="23">
        <f t="shared" si="20"/>
        <v>67228.151700737697</v>
      </c>
      <c r="Y89" s="26">
        <f t="shared" si="20"/>
        <v>63596.150805105346</v>
      </c>
    </row>
    <row r="90" spans="3:25" x14ac:dyDescent="0.25">
      <c r="C90" s="22" t="s">
        <v>79</v>
      </c>
      <c r="D90" s="23"/>
      <c r="E90" s="23"/>
      <c r="F90" s="23">
        <f>F57+F68+F79</f>
        <v>-314000</v>
      </c>
      <c r="G90" s="23">
        <f t="shared" si="20"/>
        <v>-114189.4</v>
      </c>
      <c r="H90" s="23">
        <f t="shared" si="20"/>
        <v>-126469.05744000002</v>
      </c>
      <c r="I90" s="23">
        <f t="shared" si="20"/>
        <v>-120082.37003928001</v>
      </c>
      <c r="J90" s="23">
        <f t="shared" si="20"/>
        <v>-130277.49168595717</v>
      </c>
      <c r="K90" s="23">
        <f t="shared" si="20"/>
        <v>-142981.1527293697</v>
      </c>
      <c r="L90" s="23">
        <f t="shared" si="20"/>
        <v>-135732.00828599068</v>
      </c>
      <c r="M90" s="23">
        <f t="shared" si="20"/>
        <v>-142761.36933535285</v>
      </c>
      <c r="N90" s="23">
        <f t="shared" si="20"/>
        <v>-148713.38817001018</v>
      </c>
      <c r="O90" s="23">
        <f t="shared" si="20"/>
        <v>-153676.07442244803</v>
      </c>
      <c r="P90" s="23">
        <f t="shared" si="20"/>
        <v>-70718.721721760114</v>
      </c>
      <c r="Q90" s="23">
        <f t="shared" si="20"/>
        <v>-77401.347400814513</v>
      </c>
      <c r="R90" s="23">
        <f t="shared" si="20"/>
        <v>-78261.893769145114</v>
      </c>
      <c r="S90" s="23">
        <f t="shared" si="20"/>
        <v>-78806.402735057098</v>
      </c>
      <c r="T90" s="23">
        <f t="shared" si="20"/>
        <v>-83468.562787127652</v>
      </c>
      <c r="U90" s="23">
        <f t="shared" si="20"/>
        <v>-83218.151592924391</v>
      </c>
      <c r="V90" s="23">
        <f t="shared" si="20"/>
        <v>-82744.736251086797</v>
      </c>
      <c r="W90" s="23">
        <f t="shared" si="20"/>
        <v>-85810.4040440057</v>
      </c>
      <c r="X90" s="23">
        <f t="shared" si="20"/>
        <v>-88281.178154389767</v>
      </c>
      <c r="Y90" s="26">
        <f t="shared" si="20"/>
        <v>-83511.787504598862</v>
      </c>
    </row>
    <row r="91" spans="3:25" x14ac:dyDescent="0.25">
      <c r="C91" s="22" t="s">
        <v>80</v>
      </c>
      <c r="D91" s="23"/>
      <c r="E91" s="23"/>
      <c r="F91" s="23">
        <f t="shared" ref="F91:Y94" si="21">F58+F69+F80</f>
        <v>40</v>
      </c>
      <c r="G91" s="23">
        <f t="shared" si="21"/>
        <v>2400.2961842125878</v>
      </c>
      <c r="H91" s="23">
        <f t="shared" si="21"/>
        <v>4724.0208901144979</v>
      </c>
      <c r="I91" s="23">
        <f t="shared" si="21"/>
        <v>6222.2293179546359</v>
      </c>
      <c r="J91" s="23">
        <f t="shared" si="21"/>
        <v>7702.4440110252353</v>
      </c>
      <c r="K91" s="23">
        <f t="shared" si="21"/>
        <v>8568.1658194624524</v>
      </c>
      <c r="L91" s="23">
        <f t="shared" si="21"/>
        <v>8599.0270593679306</v>
      </c>
      <c r="M91" s="23">
        <f t="shared" si="21"/>
        <v>8639.9265903675077</v>
      </c>
      <c r="N91" s="23">
        <f t="shared" si="21"/>
        <v>8078.2841010898119</v>
      </c>
      <c r="O91" s="23">
        <f t="shared" si="21"/>
        <v>6951.9305719351914</v>
      </c>
      <c r="P91" s="23">
        <f t="shared" si="21"/>
        <v>4606.0837965141918</v>
      </c>
      <c r="Q91" s="23">
        <f t="shared" si="21"/>
        <v>5621.4682028980242</v>
      </c>
      <c r="R91" s="23">
        <f t="shared" si="21"/>
        <v>6175.6747654135042</v>
      </c>
      <c r="S91" s="23">
        <f t="shared" si="21"/>
        <v>6516.621507894708</v>
      </c>
      <c r="T91" s="23">
        <f t="shared" si="21"/>
        <v>6659.4494899104429</v>
      </c>
      <c r="U91" s="23">
        <f t="shared" si="21"/>
        <v>6423.8201537578498</v>
      </c>
      <c r="V91" s="23">
        <f t="shared" si="21"/>
        <v>6019.6712425686146</v>
      </c>
      <c r="W91" s="23">
        <f t="shared" si="21"/>
        <v>5458.6135748052411</v>
      </c>
      <c r="X91" s="23">
        <f t="shared" si="21"/>
        <v>4586.3208221300338</v>
      </c>
      <c r="Y91" s="26">
        <f t="shared" si="21"/>
        <v>3423.8616462489163</v>
      </c>
    </row>
    <row r="92" spans="3:25" x14ac:dyDescent="0.25">
      <c r="C92" s="38" t="s">
        <v>81</v>
      </c>
      <c r="D92" s="23"/>
      <c r="E92" s="23"/>
      <c r="F92" s="23">
        <f t="shared" si="21"/>
        <v>0</v>
      </c>
      <c r="G92" s="23">
        <f t="shared" si="21"/>
        <v>0</v>
      </c>
      <c r="H92" s="23">
        <f t="shared" si="21"/>
        <v>0</v>
      </c>
      <c r="I92" s="23">
        <f t="shared" si="21"/>
        <v>0</v>
      </c>
      <c r="J92" s="23">
        <f t="shared" si="21"/>
        <v>0</v>
      </c>
      <c r="K92" s="23">
        <f t="shared" si="21"/>
        <v>0</v>
      </c>
      <c r="L92" s="23">
        <f t="shared" si="21"/>
        <v>0</v>
      </c>
      <c r="M92" s="23">
        <f t="shared" si="21"/>
        <v>0</v>
      </c>
      <c r="N92" s="23">
        <f t="shared" si="21"/>
        <v>0</v>
      </c>
      <c r="O92" s="23">
        <f t="shared" si="21"/>
        <v>0</v>
      </c>
      <c r="P92" s="23">
        <f t="shared" si="21"/>
        <v>0</v>
      </c>
      <c r="Q92" s="23">
        <f t="shared" si="21"/>
        <v>0</v>
      </c>
      <c r="R92" s="23">
        <f t="shared" si="21"/>
        <v>0</v>
      </c>
      <c r="S92" s="23">
        <f t="shared" si="21"/>
        <v>0</v>
      </c>
      <c r="T92" s="23">
        <f t="shared" si="21"/>
        <v>0</v>
      </c>
      <c r="U92" s="23">
        <f t="shared" si="21"/>
        <v>0</v>
      </c>
      <c r="V92" s="23">
        <f t="shared" si="21"/>
        <v>0</v>
      </c>
      <c r="W92" s="23">
        <f t="shared" si="21"/>
        <v>0</v>
      </c>
      <c r="X92" s="23">
        <f t="shared" si="21"/>
        <v>0</v>
      </c>
      <c r="Y92" s="26">
        <f t="shared" si="21"/>
        <v>0</v>
      </c>
    </row>
    <row r="93" spans="3:25" x14ac:dyDescent="0.25">
      <c r="C93" s="38" t="s">
        <v>82</v>
      </c>
      <c r="D93" s="23"/>
      <c r="E93" s="23"/>
      <c r="F93" s="23">
        <f t="shared" si="21"/>
        <v>-15967.195394685275</v>
      </c>
      <c r="G93" s="23">
        <f t="shared" si="21"/>
        <v>-15465.074696664866</v>
      </c>
      <c r="H93" s="23">
        <f t="shared" si="21"/>
        <v>-16787.983798031077</v>
      </c>
      <c r="I93" s="23">
        <f t="shared" si="21"/>
        <v>-16235.317328111727</v>
      </c>
      <c r="J93" s="23">
        <f t="shared" si="21"/>
        <v>-14428.308333642837</v>
      </c>
      <c r="K93" s="23">
        <f t="shared" si="21"/>
        <v>-15419.344058300427</v>
      </c>
      <c r="L93" s="23">
        <f t="shared" si="21"/>
        <v>-14812.776662564145</v>
      </c>
      <c r="M93" s="23">
        <f t="shared" si="21"/>
        <v>-15625.829759804285</v>
      </c>
      <c r="N93" s="23">
        <f t="shared" si="21"/>
        <v>-16323.211267315217</v>
      </c>
      <c r="O93" s="23">
        <f t="shared" si="21"/>
        <v>-16914.114859819871</v>
      </c>
      <c r="P93" s="23">
        <f t="shared" si="21"/>
        <v>-7141.7369325273139</v>
      </c>
      <c r="Q93" s="23">
        <f t="shared" si="21"/>
        <v>-7849.4045657456963</v>
      </c>
      <c r="R93" s="23">
        <f t="shared" si="21"/>
        <v>-7972.1617063321883</v>
      </c>
      <c r="S93" s="23">
        <f t="shared" si="21"/>
        <v>-8060.7538907690268</v>
      </c>
      <c r="T93" s="23">
        <f t="shared" si="21"/>
        <v>-8558.6732756782039</v>
      </c>
      <c r="U93" s="23">
        <f t="shared" si="21"/>
        <v>-8562.9714106773517</v>
      </c>
      <c r="V93" s="23">
        <f t="shared" si="21"/>
        <v>-8542.7530830369815</v>
      </c>
      <c r="W93" s="23">
        <f t="shared" si="21"/>
        <v>-8874.3371187968987</v>
      </c>
      <c r="X93" s="23">
        <f t="shared" si="21"/>
        <v>-9144.3729146551668</v>
      </c>
      <c r="Y93" s="26">
        <f t="shared" si="21"/>
        <v>-8688.4228381285739</v>
      </c>
    </row>
    <row r="94" spans="3:25" x14ac:dyDescent="0.25">
      <c r="C94" s="39" t="s">
        <v>75</v>
      </c>
      <c r="D94" s="28"/>
      <c r="E94" s="28"/>
      <c r="F94" s="28">
        <f t="shared" si="21"/>
        <v>-124927.19539468529</v>
      </c>
      <c r="G94" s="28">
        <f t="shared" si="21"/>
        <v>-57513.373907137538</v>
      </c>
      <c r="H94" s="28">
        <f t="shared" si="21"/>
        <v>-11189.661455054105</v>
      </c>
      <c r="I94" s="28">
        <f t="shared" si="21"/>
        <v>34236.348289108821</v>
      </c>
      <c r="J94" s="28">
        <f t="shared" si="21"/>
        <v>63890.625950557253</v>
      </c>
      <c r="K94" s="28">
        <f t="shared" si="21"/>
        <v>72283.052388669632</v>
      </c>
      <c r="L94" s="28">
        <f t="shared" si="21"/>
        <v>80540.056705302355</v>
      </c>
      <c r="M94" s="28">
        <f t="shared" si="21"/>
        <v>73380.266362497307</v>
      </c>
      <c r="N94" s="28">
        <f t="shared" si="21"/>
        <v>51765.989094417484</v>
      </c>
      <c r="O94" s="28">
        <f t="shared" si="21"/>
        <v>16582.756914571393</v>
      </c>
      <c r="P94" s="28">
        <f t="shared" si="21"/>
        <v>47085.579949728046</v>
      </c>
      <c r="Q94" s="28">
        <f t="shared" si="21"/>
        <v>65825.901578405377</v>
      </c>
      <c r="R94" s="28">
        <f t="shared" si="21"/>
        <v>78994.855138796556</v>
      </c>
      <c r="S94" s="28">
        <f t="shared" si="21"/>
        <v>86981.880608834748</v>
      </c>
      <c r="T94" s="28">
        <f t="shared" si="21"/>
        <v>85302.890497967062</v>
      </c>
      <c r="U94" s="28">
        <f t="shared" si="21"/>
        <v>79200.970117574951</v>
      </c>
      <c r="V94" s="28">
        <f t="shared" si="21"/>
        <v>68976.110917220227</v>
      </c>
      <c r="W94" s="28">
        <f t="shared" si="21"/>
        <v>50791.276437550019</v>
      </c>
      <c r="X94" s="28">
        <f t="shared" si="21"/>
        <v>25180.197891372824</v>
      </c>
      <c r="Y94" s="29">
        <f t="shared" si="21"/>
        <v>-3.5561242839321494E-10</v>
      </c>
    </row>
    <row r="95" spans="3:2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x14ac:dyDescent="0.25">
      <c r="C96" s="3" t="s">
        <v>86</v>
      </c>
    </row>
    <row r="97" spans="3:28" x14ac:dyDescent="0.25">
      <c r="C97" s="37" t="s">
        <v>74</v>
      </c>
      <c r="D97" s="20"/>
      <c r="E97" s="20"/>
      <c r="F97" s="20">
        <v>0</v>
      </c>
      <c r="G97" s="20">
        <f>F101</f>
        <v>189213.40714203159</v>
      </c>
      <c r="H97" s="20">
        <f t="shared" ref="H97:Y97" si="22">G101</f>
        <v>174120.25546666901</v>
      </c>
      <c r="I97" s="20">
        <f t="shared" si="22"/>
        <v>158704.74524201624</v>
      </c>
      <c r="J97" s="20">
        <f t="shared" si="22"/>
        <v>142952.81622032772</v>
      </c>
      <c r="K97" s="20">
        <f t="shared" si="22"/>
        <v>126847.50352554039</v>
      </c>
      <c r="L97" s="20">
        <f t="shared" si="22"/>
        <v>110373.4772444992</v>
      </c>
      <c r="M97" s="20">
        <f t="shared" si="22"/>
        <v>93514.751919716349</v>
      </c>
      <c r="N97" s="20">
        <f t="shared" si="22"/>
        <v>76252.448782610736</v>
      </c>
      <c r="O97" s="20">
        <f t="shared" si="22"/>
        <v>58569.162645741591</v>
      </c>
      <c r="P97" s="20">
        <f t="shared" si="22"/>
        <v>40446.752119962301</v>
      </c>
      <c r="Q97" s="20">
        <f t="shared" si="22"/>
        <v>36764.959960655338</v>
      </c>
      <c r="R97" s="20">
        <f t="shared" si="22"/>
        <v>33010.101985718058</v>
      </c>
      <c r="S97" s="20">
        <f t="shared" si="22"/>
        <v>29180.118598043027</v>
      </c>
      <c r="T97" s="20">
        <f t="shared" si="22"/>
        <v>25271.863711732422</v>
      </c>
      <c r="U97" s="20">
        <f t="shared" si="22"/>
        <v>21282.040150322711</v>
      </c>
      <c r="V97" s="20">
        <f t="shared" si="22"/>
        <v>17208.10418372713</v>
      </c>
      <c r="W97" s="20">
        <f t="shared" si="22"/>
        <v>13046.448402106893</v>
      </c>
      <c r="X97" s="20">
        <f t="shared" si="22"/>
        <v>8793.2973792730154</v>
      </c>
      <c r="Y97" s="21">
        <f t="shared" si="22"/>
        <v>4445.5705072737846</v>
      </c>
    </row>
    <row r="98" spans="3:28" x14ac:dyDescent="0.25">
      <c r="C98" s="22" t="s">
        <v>87</v>
      </c>
      <c r="D98" s="23"/>
      <c r="E98" s="23"/>
      <c r="F98" s="23">
        <f>(F9+F11)*-1</f>
        <v>204000</v>
      </c>
      <c r="G98" s="23">
        <f>(G9+G11)*-1</f>
        <v>0</v>
      </c>
      <c r="H98" s="23">
        <f t="shared" ref="H98:Y98" si="23">(H9+H11)*-1</f>
        <v>0</v>
      </c>
      <c r="I98" s="23">
        <f t="shared" si="23"/>
        <v>0</v>
      </c>
      <c r="J98" s="23">
        <f t="shared" si="23"/>
        <v>0</v>
      </c>
      <c r="K98" s="23">
        <f t="shared" si="23"/>
        <v>0</v>
      </c>
      <c r="L98" s="23">
        <f t="shared" si="23"/>
        <v>0</v>
      </c>
      <c r="M98" s="23">
        <f t="shared" si="23"/>
        <v>0</v>
      </c>
      <c r="N98" s="23">
        <f t="shared" si="23"/>
        <v>0</v>
      </c>
      <c r="O98" s="23">
        <f t="shared" si="23"/>
        <v>0</v>
      </c>
      <c r="P98" s="23">
        <f t="shared" si="23"/>
        <v>0</v>
      </c>
      <c r="Q98" s="23">
        <f t="shared" si="23"/>
        <v>0</v>
      </c>
      <c r="R98" s="23">
        <f t="shared" si="23"/>
        <v>0</v>
      </c>
      <c r="S98" s="23">
        <f t="shared" si="23"/>
        <v>0</v>
      </c>
      <c r="T98" s="23">
        <f t="shared" si="23"/>
        <v>0</v>
      </c>
      <c r="U98" s="23">
        <f t="shared" si="23"/>
        <v>0</v>
      </c>
      <c r="V98" s="23">
        <f t="shared" si="23"/>
        <v>0</v>
      </c>
      <c r="W98" s="23">
        <f t="shared" si="23"/>
        <v>0</v>
      </c>
      <c r="X98" s="23">
        <f t="shared" si="23"/>
        <v>0</v>
      </c>
      <c r="Y98" s="26">
        <f t="shared" si="23"/>
        <v>0</v>
      </c>
    </row>
    <row r="99" spans="3:28"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23">
        <f>(O97+O98)*Assumptions!M18</f>
        <v>2342.7665058296639</v>
      </c>
      <c r="P99" s="23">
        <f>(P97+P98)*Assumptions!N18</f>
        <v>1617.8700847984921</v>
      </c>
      <c r="Q99" s="23">
        <f>(Q97+Q98)*Assumptions!O18</f>
        <v>1470.5983984262136</v>
      </c>
      <c r="R99" s="23">
        <f>(R97+R98)*Assumptions!P18</f>
        <v>1320.4040794287223</v>
      </c>
      <c r="S99" s="23">
        <f>(S97+S98)*Assumptions!Q18</f>
        <v>1167.204743921721</v>
      </c>
      <c r="T99" s="23">
        <f>(T97+T98)*Assumptions!R18</f>
        <v>1010.8745484692969</v>
      </c>
      <c r="U99" s="23">
        <f>(U97+U98)*Assumptions!S18</f>
        <v>851.28160601290847</v>
      </c>
      <c r="V99" s="23">
        <f>(V97+V98)*Assumptions!T18</f>
        <v>688.3241673490852</v>
      </c>
      <c r="W99" s="23">
        <f>(W97+W98)*Assumptions!U18</f>
        <v>521.85793608427571</v>
      </c>
      <c r="X99" s="23">
        <f>(X97+X98)*Assumptions!V18</f>
        <v>351.73189517092061</v>
      </c>
      <c r="Y99" s="26">
        <f>(Y97+Y98)*Assumptions!W18</f>
        <v>177.8228202909514</v>
      </c>
    </row>
    <row r="100" spans="3:28" x14ac:dyDescent="0.25">
      <c r="C100" s="22" t="s">
        <v>89</v>
      </c>
      <c r="D100" s="23"/>
      <c r="E100" s="23"/>
      <c r="F100" s="23">
        <f>-SUM(F97:F99)*F36/SUM(F36:$Y$36)</f>
        <v>-22946.592857968397</v>
      </c>
      <c r="G100" s="23">
        <f>-SUM(G97:G99)*G36/SUM(G36:$Y$36)</f>
        <v>-22661.687961043859</v>
      </c>
      <c r="H100" s="23">
        <f>-SUM(H97:H99)*H36/SUM(H36:$Y$36)</f>
        <v>-22380.320443319535</v>
      </c>
      <c r="I100" s="23">
        <f>-SUM(I97:I99)*I36/SUM(I36:$Y$36)</f>
        <v>-22100.118831369178</v>
      </c>
      <c r="J100" s="23">
        <f>-SUM(J97:J99)*J36/SUM(J36:$Y$36)</f>
        <v>-21823.425343600433</v>
      </c>
      <c r="K100" s="23">
        <f>-SUM(K97:K99)*K36/SUM(K36:$Y$36)</f>
        <v>-21547.926422062828</v>
      </c>
      <c r="L100" s="23">
        <f>-SUM(L97:L99)*L36/SUM(L36:$Y$36)</f>
        <v>-21273.664414562823</v>
      </c>
      <c r="M100" s="23">
        <f>-SUM(M97:M99)*M36/SUM(M36:$Y$36)</f>
        <v>-21002.893213894266</v>
      </c>
      <c r="N100" s="23">
        <f>-SUM(N97:N99)*N36/SUM(N36:$Y$36)</f>
        <v>-20733.384088173574</v>
      </c>
      <c r="O100" s="23">
        <f>-SUM(O97:O99)*O36/SUM(O36:$Y$36)</f>
        <v>-20465.177031608957</v>
      </c>
      <c r="P100" s="23">
        <f>-SUM(P97:P99)*P36/SUM(P36:$Y$36)</f>
        <v>-5299.6622441054551</v>
      </c>
      <c r="Q100" s="23">
        <f>-SUM(Q97:Q99)*Q36/SUM(Q36:$Y$36)</f>
        <v>-5225.4563733634914</v>
      </c>
      <c r="R100" s="23">
        <f>-SUM(R97:R99)*R36/SUM(R36:$Y$36)</f>
        <v>-5150.3874671037529</v>
      </c>
      <c r="S100" s="23">
        <f>-SUM(S97:S99)*S36/SUM(S36:$Y$36)</f>
        <v>-5075.4596302323262</v>
      </c>
      <c r="T100" s="23">
        <f>-SUM(T97:T99)*T36/SUM(T36:$Y$36)</f>
        <v>-5000.6981098790038</v>
      </c>
      <c r="U100" s="23">
        <f>-SUM(U97:U99)*U36/SUM(U36:$Y$36)</f>
        <v>-4925.2175726084897</v>
      </c>
      <c r="V100" s="23">
        <f>-SUM(V97:V99)*V36/SUM(V36:$Y$36)</f>
        <v>-4849.9799489693223</v>
      </c>
      <c r="W100" s="23">
        <f>-SUM(W97:W99)*W36/SUM(W36:$Y$36)</f>
        <v>-4775.0089589181543</v>
      </c>
      <c r="X100" s="23">
        <f>-SUM(X97:X99)*X36/SUM(X36:$Y$36)</f>
        <v>-4699.4587671701511</v>
      </c>
      <c r="Y100" s="26">
        <f>-SUM(Y97:Y99)*Y36/SUM(Y36:$Y$36)</f>
        <v>-4623.393327564736</v>
      </c>
    </row>
    <row r="101" spans="3:28" x14ac:dyDescent="0.25">
      <c r="C101" s="39" t="s">
        <v>75</v>
      </c>
      <c r="D101" s="28"/>
      <c r="E101" s="28"/>
      <c r="F101" s="28">
        <f>SUM(F97:F100)</f>
        <v>189213.40714203159</v>
      </c>
      <c r="G101" s="28">
        <f>SUM(G97:G100)</f>
        <v>174120.25546666901</v>
      </c>
      <c r="H101" s="28">
        <f t="shared" ref="H101:Y101" si="24">SUM(H97:H100)</f>
        <v>158704.74524201624</v>
      </c>
      <c r="I101" s="28">
        <f t="shared" si="24"/>
        <v>142952.81622032772</v>
      </c>
      <c r="J101" s="28">
        <f t="shared" si="24"/>
        <v>126847.50352554039</v>
      </c>
      <c r="K101" s="28">
        <f t="shared" si="24"/>
        <v>110373.4772444992</v>
      </c>
      <c r="L101" s="28">
        <f t="shared" si="24"/>
        <v>93514.751919716349</v>
      </c>
      <c r="M101" s="28">
        <f t="shared" si="24"/>
        <v>76252.448782610736</v>
      </c>
      <c r="N101" s="28">
        <f t="shared" si="24"/>
        <v>58569.162645741591</v>
      </c>
      <c r="O101" s="28">
        <f t="shared" si="24"/>
        <v>40446.752119962301</v>
      </c>
      <c r="P101" s="28">
        <f t="shared" si="24"/>
        <v>36764.959960655338</v>
      </c>
      <c r="Q101" s="28">
        <f t="shared" si="24"/>
        <v>33010.101985718058</v>
      </c>
      <c r="R101" s="28">
        <f t="shared" si="24"/>
        <v>29180.118598043027</v>
      </c>
      <c r="S101" s="28">
        <f t="shared" si="24"/>
        <v>25271.863711732422</v>
      </c>
      <c r="T101" s="28">
        <f t="shared" si="24"/>
        <v>21282.040150322711</v>
      </c>
      <c r="U101" s="28">
        <f t="shared" si="24"/>
        <v>17208.10418372713</v>
      </c>
      <c r="V101" s="28">
        <f t="shared" si="24"/>
        <v>13046.448402106893</v>
      </c>
      <c r="W101" s="28">
        <f t="shared" si="24"/>
        <v>8793.2973792730154</v>
      </c>
      <c r="X101" s="28">
        <f t="shared" si="24"/>
        <v>4445.5705072737846</v>
      </c>
      <c r="Y101" s="29">
        <f t="shared" si="24"/>
        <v>0</v>
      </c>
      <c r="Z101" s="23"/>
    </row>
    <row r="103" spans="3:28" x14ac:dyDescent="0.25">
      <c r="C103" s="3" t="s">
        <v>27</v>
      </c>
      <c r="AB103" s="7" t="s">
        <v>47</v>
      </c>
    </row>
    <row r="104" spans="3:28" x14ac:dyDescent="0.25">
      <c r="C104" s="19" t="s">
        <v>54</v>
      </c>
      <c r="D104" s="20"/>
      <c r="E104" s="20"/>
      <c r="F104" s="20">
        <f>-F82</f>
        <v>7967.1953946852755</v>
      </c>
      <c r="G104" s="20">
        <f t="shared" ref="G104:Y104" si="25">-G82</f>
        <v>7868.2746966648656</v>
      </c>
      <c r="H104" s="20">
        <f t="shared" si="25"/>
        <v>7770.5821980310729</v>
      </c>
      <c r="I104" s="20">
        <f t="shared" si="25"/>
        <v>7673.2945089117256</v>
      </c>
      <c r="J104" s="48">
        <f t="shared" si="25"/>
        <v>4672.7395334463563</v>
      </c>
      <c r="K104" s="48">
        <f t="shared" si="25"/>
        <v>4613.7508695761308</v>
      </c>
      <c r="L104" s="48">
        <f t="shared" si="25"/>
        <v>4555.0270485081683</v>
      </c>
      <c r="M104" s="48">
        <f t="shared" si="25"/>
        <v>4497.0506642347555</v>
      </c>
      <c r="N104" s="48">
        <f t="shared" si="25"/>
        <v>4439.3445101112957</v>
      </c>
      <c r="O104" s="48">
        <f t="shared" si="25"/>
        <v>4381.9171495284936</v>
      </c>
      <c r="P104" s="48">
        <f t="shared" si="25"/>
        <v>1134.7412650418987</v>
      </c>
      <c r="Q104" s="48">
        <f t="shared" si="25"/>
        <v>1118.8526178487821</v>
      </c>
      <c r="R104" s="48">
        <f t="shared" si="25"/>
        <v>1102.7791811407669</v>
      </c>
      <c r="S104" s="48">
        <f t="shared" si="25"/>
        <v>1086.7359496135309</v>
      </c>
      <c r="T104" s="48">
        <f t="shared" si="25"/>
        <v>1070.7283290757237</v>
      </c>
      <c r="U104" s="48">
        <f t="shared" si="25"/>
        <v>1054.5667556766546</v>
      </c>
      <c r="V104" s="48">
        <f t="shared" si="25"/>
        <v>1038.4571939169377</v>
      </c>
      <c r="W104" s="48">
        <f t="shared" si="25"/>
        <v>1022.4047226133697</v>
      </c>
      <c r="X104" s="48">
        <f t="shared" si="25"/>
        <v>1006.2282350921807</v>
      </c>
      <c r="Y104" s="49">
        <f t="shared" si="25"/>
        <v>989.94142487897875</v>
      </c>
      <c r="Z104" s="23"/>
      <c r="AB104" s="2">
        <f>NPV(0.04,F104:Z104)</f>
        <v>54566.844033073728</v>
      </c>
    </row>
    <row r="105" spans="3:28" x14ac:dyDescent="0.25">
      <c r="C105" s="22" t="s">
        <v>55</v>
      </c>
      <c r="D105" s="23"/>
      <c r="E105" s="23"/>
      <c r="F105" s="23">
        <f>-F71</f>
        <v>8000</v>
      </c>
      <c r="G105" s="23">
        <f t="shared" ref="G105:Y105" si="26">-G71</f>
        <v>7596.8</v>
      </c>
      <c r="H105" s="23">
        <f t="shared" si="26"/>
        <v>9017.4016000000029</v>
      </c>
      <c r="I105" s="23">
        <f t="shared" si="26"/>
        <v>8562.0228192000013</v>
      </c>
      <c r="J105" s="23">
        <f t="shared" si="26"/>
        <v>9755.5688001964809</v>
      </c>
      <c r="K105" s="23">
        <f t="shared" si="26"/>
        <v>10805.593188724297</v>
      </c>
      <c r="L105" s="23">
        <f t="shared" si="26"/>
        <v>10257.749614055976</v>
      </c>
      <c r="M105" s="23">
        <f t="shared" si="26"/>
        <v>11128.779095569529</v>
      </c>
      <c r="N105" s="23">
        <f t="shared" si="26"/>
        <v>11883.866757203921</v>
      </c>
      <c r="O105" s="23">
        <f t="shared" si="26"/>
        <v>12532.197710291379</v>
      </c>
      <c r="P105" s="23">
        <f t="shared" si="26"/>
        <v>6006.9956674854157</v>
      </c>
      <c r="Q105" s="23">
        <f t="shared" si="26"/>
        <v>6730.5519478969145</v>
      </c>
      <c r="R105" s="23">
        <f t="shared" si="26"/>
        <v>6869.3825251914213</v>
      </c>
      <c r="S105" s="23">
        <f t="shared" si="26"/>
        <v>6974.0179411554964</v>
      </c>
      <c r="T105" s="23">
        <f t="shared" si="26"/>
        <v>7487.9449466024807</v>
      </c>
      <c r="U105" s="23">
        <f t="shared" si="26"/>
        <v>7508.4046550006969</v>
      </c>
      <c r="V105" s="23">
        <f t="shared" si="26"/>
        <v>7504.2958891200433</v>
      </c>
      <c r="W105" s="23">
        <f t="shared" si="26"/>
        <v>7851.9323961835289</v>
      </c>
      <c r="X105" s="23">
        <f t="shared" si="26"/>
        <v>8138.1446795629854</v>
      </c>
      <c r="Y105" s="26">
        <f t="shared" si="26"/>
        <v>7698.4814132495949</v>
      </c>
      <c r="Z105" s="23"/>
      <c r="AB105" s="2">
        <f t="shared" ref="AB105:AB107" si="27">NPV(0.04,F105:Z105)</f>
        <v>118881.96824108734</v>
      </c>
    </row>
    <row r="106" spans="3:28" x14ac:dyDescent="0.25">
      <c r="C106" s="22" t="s">
        <v>90</v>
      </c>
      <c r="D106" s="23"/>
      <c r="E106" s="23"/>
      <c r="F106" s="23">
        <f t="shared" ref="F106:Y106" si="28">-F15</f>
        <v>80000</v>
      </c>
      <c r="G106" s="23">
        <f t="shared" si="28"/>
        <v>75968</v>
      </c>
      <c r="H106" s="23">
        <f t="shared" si="28"/>
        <v>90174.016000000018</v>
      </c>
      <c r="I106" s="23">
        <f t="shared" si="28"/>
        <v>85620.22819200001</v>
      </c>
      <c r="J106" s="23">
        <f t="shared" si="28"/>
        <v>97555.688001964809</v>
      </c>
      <c r="K106" s="23">
        <f t="shared" si="28"/>
        <v>108055.93188724296</v>
      </c>
      <c r="L106" s="23">
        <f t="shared" si="28"/>
        <v>102577.49614055976</v>
      </c>
      <c r="M106" s="23">
        <f t="shared" si="28"/>
        <v>111287.79095569528</v>
      </c>
      <c r="N106" s="23">
        <f t="shared" si="28"/>
        <v>118838.66757203921</v>
      </c>
      <c r="O106" s="23">
        <f t="shared" si="28"/>
        <v>125321.97710291378</v>
      </c>
      <c r="P106" s="23">
        <f t="shared" si="28"/>
        <v>60069.956674854155</v>
      </c>
      <c r="Q106" s="23">
        <f t="shared" si="28"/>
        <v>67305.519478969145</v>
      </c>
      <c r="R106" s="23">
        <f t="shared" si="28"/>
        <v>68693.825251914212</v>
      </c>
      <c r="S106" s="23">
        <f t="shared" si="28"/>
        <v>69740.179411554956</v>
      </c>
      <c r="T106" s="23">
        <f t="shared" si="28"/>
        <v>74879.449466024802</v>
      </c>
      <c r="U106" s="23">
        <f t="shared" si="28"/>
        <v>75084.046550006969</v>
      </c>
      <c r="V106" s="23">
        <f t="shared" si="28"/>
        <v>75042.958891200426</v>
      </c>
      <c r="W106" s="23">
        <f t="shared" si="28"/>
        <v>78519.323961835282</v>
      </c>
      <c r="X106" s="23">
        <f t="shared" si="28"/>
        <v>81381.446795629847</v>
      </c>
      <c r="Y106" s="26">
        <f t="shared" si="28"/>
        <v>76984.814132495943</v>
      </c>
      <c r="Z106" s="23"/>
      <c r="AB106" s="2">
        <f t="shared" si="27"/>
        <v>1188819.6824108735</v>
      </c>
    </row>
    <row r="107" spans="3:28" x14ac:dyDescent="0.25">
      <c r="C107" s="22" t="s">
        <v>57</v>
      </c>
      <c r="D107" s="23"/>
      <c r="E107" s="23"/>
      <c r="F107" s="23">
        <f>-F10-F12</f>
        <v>30000</v>
      </c>
      <c r="G107" s="23">
        <f>-G10-G12</f>
        <v>38221.4</v>
      </c>
      <c r="H107" s="23">
        <f>-H10-H12</f>
        <v>36295.041440000001</v>
      </c>
      <c r="I107" s="23">
        <f>-I10-I12</f>
        <v>34462.141847280007</v>
      </c>
      <c r="J107" s="23">
        <f>-J10-J12</f>
        <v>32721.803683992362</v>
      </c>
      <c r="K107" s="41">
        <f>-K10-K23</f>
        <v>34925.220842126742</v>
      </c>
      <c r="L107" s="41">
        <f t="shared" ref="L107:Y107" si="29">-L10-L23</f>
        <v>33154.512145430919</v>
      </c>
      <c r="M107" s="41">
        <f t="shared" si="29"/>
        <v>31473.578379657571</v>
      </c>
      <c r="N107" s="41">
        <f t="shared" si="29"/>
        <v>29874.720597970965</v>
      </c>
      <c r="O107" s="41">
        <f t="shared" si="29"/>
        <v>28354.097319534241</v>
      </c>
      <c r="P107" s="41">
        <f t="shared" si="29"/>
        <v>10648.765046905963</v>
      </c>
      <c r="Q107" s="41">
        <f t="shared" si="29"/>
        <v>10095.827921845372</v>
      </c>
      <c r="R107" s="41">
        <f t="shared" si="29"/>
        <v>9568.0685172309059</v>
      </c>
      <c r="S107" s="41">
        <f t="shared" si="29"/>
        <v>9066.2233235021449</v>
      </c>
      <c r="T107" s="41">
        <f t="shared" si="29"/>
        <v>8589.1133211028464</v>
      </c>
      <c r="U107" s="41">
        <f t="shared" si="29"/>
        <v>8134.1050429174211</v>
      </c>
      <c r="V107" s="41">
        <f t="shared" si="29"/>
        <v>7701.7773598863605</v>
      </c>
      <c r="W107" s="41">
        <f t="shared" si="29"/>
        <v>7291.0800821704197</v>
      </c>
      <c r="X107" s="41">
        <f t="shared" si="29"/>
        <v>6899.7313587599219</v>
      </c>
      <c r="Y107" s="45">
        <f t="shared" si="29"/>
        <v>6526.973372102917</v>
      </c>
      <c r="Z107" s="23"/>
      <c r="AB107" s="2">
        <f t="shared" si="27"/>
        <v>315865.81614828511</v>
      </c>
    </row>
    <row r="108" spans="3:28" x14ac:dyDescent="0.25">
      <c r="C108" s="22" t="s">
        <v>56</v>
      </c>
      <c r="D108" s="23"/>
      <c r="E108" s="23"/>
      <c r="F108" s="23">
        <f>-F100</f>
        <v>22946.592857968397</v>
      </c>
      <c r="G108" s="23">
        <f t="shared" ref="G108:Y108" si="30">-G100</f>
        <v>22661.687961043859</v>
      </c>
      <c r="H108" s="23">
        <f t="shared" si="30"/>
        <v>22380.320443319535</v>
      </c>
      <c r="I108" s="23">
        <f t="shared" si="30"/>
        <v>22100.118831369178</v>
      </c>
      <c r="J108" s="23">
        <f t="shared" si="30"/>
        <v>21823.425343600433</v>
      </c>
      <c r="K108" s="23">
        <f t="shared" si="30"/>
        <v>21547.926422062828</v>
      </c>
      <c r="L108" s="23">
        <f t="shared" si="30"/>
        <v>21273.664414562823</v>
      </c>
      <c r="M108" s="23">
        <f t="shared" si="30"/>
        <v>21002.893213894266</v>
      </c>
      <c r="N108" s="23">
        <f t="shared" si="30"/>
        <v>20733.384088173574</v>
      </c>
      <c r="O108" s="23">
        <f t="shared" si="30"/>
        <v>20465.177031608957</v>
      </c>
      <c r="P108" s="23">
        <f t="shared" si="30"/>
        <v>5299.6622441054551</v>
      </c>
      <c r="Q108" s="23">
        <f t="shared" si="30"/>
        <v>5225.4563733634914</v>
      </c>
      <c r="R108" s="23">
        <f t="shared" si="30"/>
        <v>5150.3874671037529</v>
      </c>
      <c r="S108" s="23">
        <f t="shared" si="30"/>
        <v>5075.4596302323262</v>
      </c>
      <c r="T108" s="23">
        <f t="shared" si="30"/>
        <v>5000.6981098790038</v>
      </c>
      <c r="U108" s="23">
        <f t="shared" si="30"/>
        <v>4925.2175726084897</v>
      </c>
      <c r="V108" s="23">
        <f t="shared" si="30"/>
        <v>4849.9799489693223</v>
      </c>
      <c r="W108" s="23">
        <f t="shared" si="30"/>
        <v>4775.0089589181543</v>
      </c>
      <c r="X108" s="23">
        <f t="shared" si="30"/>
        <v>4699.4587671701511</v>
      </c>
      <c r="Y108" s="26">
        <f t="shared" si="30"/>
        <v>4623.393327564736</v>
      </c>
      <c r="Z108" s="23"/>
      <c r="AB108" s="2">
        <f>NPV(0.04,F108:Z108)</f>
        <v>203999.99999999997</v>
      </c>
    </row>
    <row r="109" spans="3:28" x14ac:dyDescent="0.25">
      <c r="C109" s="57" t="s">
        <v>28</v>
      </c>
      <c r="D109" s="23"/>
      <c r="E109" s="23"/>
      <c r="F109" s="52">
        <f>SUM(F104:F108)</f>
        <v>148913.78825265367</v>
      </c>
      <c r="G109" s="52">
        <f t="shared" ref="G109:Y109" si="31">SUM(G104:G108)</f>
        <v>152316.16265770872</v>
      </c>
      <c r="H109" s="52">
        <f t="shared" si="31"/>
        <v>165637.36168135062</v>
      </c>
      <c r="I109" s="52">
        <f t="shared" si="31"/>
        <v>158417.80619876093</v>
      </c>
      <c r="J109" s="62">
        <f t="shared" si="31"/>
        <v>166529.22536320044</v>
      </c>
      <c r="K109" s="62">
        <f t="shared" si="31"/>
        <v>179948.42320973295</v>
      </c>
      <c r="L109" s="62">
        <f t="shared" si="31"/>
        <v>171818.44936311763</v>
      </c>
      <c r="M109" s="62">
        <f t="shared" si="31"/>
        <v>179390.09230905143</v>
      </c>
      <c r="N109" s="62">
        <f t="shared" si="31"/>
        <v>185769.98352549897</v>
      </c>
      <c r="O109" s="62">
        <f t="shared" si="31"/>
        <v>191055.36631387688</v>
      </c>
      <c r="P109" s="62">
        <f t="shared" si="31"/>
        <v>83160.120898392881</v>
      </c>
      <c r="Q109" s="62">
        <f t="shared" si="31"/>
        <v>90476.208339923702</v>
      </c>
      <c r="R109" s="62">
        <f t="shared" si="31"/>
        <v>91384.442942581052</v>
      </c>
      <c r="S109" s="62">
        <f t="shared" si="31"/>
        <v>91942.616256058449</v>
      </c>
      <c r="T109" s="62">
        <f t="shared" si="31"/>
        <v>97027.934172684851</v>
      </c>
      <c r="U109" s="62">
        <f t="shared" si="31"/>
        <v>96706.340576210234</v>
      </c>
      <c r="V109" s="62">
        <f t="shared" si="31"/>
        <v>96137.469283093087</v>
      </c>
      <c r="W109" s="62">
        <f t="shared" si="31"/>
        <v>99459.750121720761</v>
      </c>
      <c r="X109" s="62">
        <f t="shared" si="31"/>
        <v>102125.00983621507</v>
      </c>
      <c r="Y109" s="64">
        <f t="shared" si="31"/>
        <v>96823.603670292185</v>
      </c>
      <c r="Z109" s="23"/>
      <c r="AB109" s="52">
        <f>SUM(AB104:AB108)</f>
        <v>1882134.3108333196</v>
      </c>
    </row>
    <row r="110" spans="3:28"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x14ac:dyDescent="0.25">
      <c r="C111" s="22" t="s">
        <v>58</v>
      </c>
      <c r="D111" s="23"/>
      <c r="E111" s="23"/>
      <c r="F111" s="23">
        <f t="shared" ref="F111:Y111" si="32">F26</f>
        <v>-80000</v>
      </c>
      <c r="G111" s="23">
        <f t="shared" si="32"/>
        <v>-75968</v>
      </c>
      <c r="H111" s="23">
        <f t="shared" si="32"/>
        <v>-90174.016000000018</v>
      </c>
      <c r="I111" s="23">
        <f t="shared" si="32"/>
        <v>-85620.22819200001</v>
      </c>
      <c r="J111" s="23">
        <f t="shared" si="32"/>
        <v>-97555.688001964809</v>
      </c>
      <c r="K111" s="23">
        <f t="shared" si="32"/>
        <v>-108055.93188724296</v>
      </c>
      <c r="L111" s="23">
        <f t="shared" si="32"/>
        <v>-102577.49614055976</v>
      </c>
      <c r="M111" s="23">
        <f t="shared" si="32"/>
        <v>-111287.79095569528</v>
      </c>
      <c r="N111" s="23">
        <f t="shared" si="32"/>
        <v>-118838.66757203921</v>
      </c>
      <c r="O111" s="23">
        <f t="shared" si="32"/>
        <v>-125321.97710291378</v>
      </c>
      <c r="P111" s="23">
        <f t="shared" si="32"/>
        <v>-60069.956674854155</v>
      </c>
      <c r="Q111" s="23">
        <f t="shared" si="32"/>
        <v>-67305.519478969145</v>
      </c>
      <c r="R111" s="23">
        <f t="shared" si="32"/>
        <v>-68693.825251914212</v>
      </c>
      <c r="S111" s="23">
        <f t="shared" si="32"/>
        <v>-69740.179411554956</v>
      </c>
      <c r="T111" s="23">
        <f t="shared" si="32"/>
        <v>-74879.449466024802</v>
      </c>
      <c r="U111" s="23">
        <f t="shared" si="32"/>
        <v>-75084.046550006969</v>
      </c>
      <c r="V111" s="23">
        <f t="shared" si="32"/>
        <v>-75042.958891200426</v>
      </c>
      <c r="W111" s="23">
        <f t="shared" si="32"/>
        <v>-78519.323961835282</v>
      </c>
      <c r="X111" s="23">
        <f t="shared" si="32"/>
        <v>-81381.446795629847</v>
      </c>
      <c r="Y111" s="26">
        <f t="shared" si="32"/>
        <v>-76984.814132495943</v>
      </c>
      <c r="Z111" s="23"/>
      <c r="AB111" s="6">
        <f t="shared" ref="AB111:AB119" si="33">NPV(0.04,F111:Z111)</f>
        <v>-1188819.6824108735</v>
      </c>
    </row>
    <row r="112" spans="3:28" x14ac:dyDescent="0.25">
      <c r="C112" s="22" t="s">
        <v>59</v>
      </c>
      <c r="D112" s="23"/>
      <c r="E112" s="23"/>
      <c r="F112" s="23">
        <f t="shared" ref="F112:Y112" si="34">F21+F23</f>
        <v>-30000</v>
      </c>
      <c r="G112" s="23">
        <f t="shared" si="34"/>
        <v>-38221.4</v>
      </c>
      <c r="H112" s="41">
        <f t="shared" si="34"/>
        <v>-40803.74224</v>
      </c>
      <c r="I112" s="41">
        <f t="shared" si="34"/>
        <v>-38743.153256880003</v>
      </c>
      <c r="J112" s="41">
        <f t="shared" si="34"/>
        <v>-36786.624017407565</v>
      </c>
      <c r="K112" s="41">
        <f t="shared" si="34"/>
        <v>-34925.220842126742</v>
      </c>
      <c r="L112" s="41">
        <f t="shared" si="34"/>
        <v>-33154.512145430919</v>
      </c>
      <c r="M112" s="41">
        <f t="shared" si="34"/>
        <v>-31473.578379657571</v>
      </c>
      <c r="N112" s="41">
        <f t="shared" si="34"/>
        <v>-29874.720597970965</v>
      </c>
      <c r="O112" s="41">
        <f t="shared" si="34"/>
        <v>-28354.097319534241</v>
      </c>
      <c r="P112" s="41">
        <f t="shared" si="34"/>
        <v>-10648.765046905963</v>
      </c>
      <c r="Q112" s="41">
        <f t="shared" si="34"/>
        <v>-10095.827921845372</v>
      </c>
      <c r="R112" s="41">
        <f t="shared" si="34"/>
        <v>-9568.0685172309059</v>
      </c>
      <c r="S112" s="41">
        <f t="shared" si="34"/>
        <v>-9066.2233235021449</v>
      </c>
      <c r="T112" s="41">
        <f t="shared" si="34"/>
        <v>-8589.1133211028464</v>
      </c>
      <c r="U112" s="41">
        <f t="shared" si="34"/>
        <v>-8134.1050429174211</v>
      </c>
      <c r="V112" s="41">
        <f t="shared" si="34"/>
        <v>-7701.7773598863605</v>
      </c>
      <c r="W112" s="41">
        <f t="shared" si="34"/>
        <v>-7291.0800821704197</v>
      </c>
      <c r="X112" s="41">
        <f t="shared" si="34"/>
        <v>-6899.7313587599219</v>
      </c>
      <c r="Y112" s="45">
        <f t="shared" si="34"/>
        <v>-6526.973372102917</v>
      </c>
      <c r="Z112" s="23"/>
      <c r="AB112" s="6">
        <f t="shared" si="33"/>
        <v>-326874.44725273445</v>
      </c>
    </row>
    <row r="113" spans="2:30" x14ac:dyDescent="0.25">
      <c r="C113" s="22" t="s">
        <v>60</v>
      </c>
      <c r="D113" s="23"/>
      <c r="E113" s="23"/>
      <c r="F113" s="23">
        <f>F100</f>
        <v>-22946.592857968397</v>
      </c>
      <c r="G113" s="23">
        <f t="shared" ref="G113:Y113" si="35">G100</f>
        <v>-22661.687961043859</v>
      </c>
      <c r="H113" s="23">
        <f t="shared" si="35"/>
        <v>-22380.320443319535</v>
      </c>
      <c r="I113" s="23">
        <f t="shared" si="35"/>
        <v>-22100.118831369178</v>
      </c>
      <c r="J113" s="23">
        <f t="shared" si="35"/>
        <v>-21823.425343600433</v>
      </c>
      <c r="K113" s="23">
        <f t="shared" si="35"/>
        <v>-21547.926422062828</v>
      </c>
      <c r="L113" s="23">
        <f t="shared" si="35"/>
        <v>-21273.664414562823</v>
      </c>
      <c r="M113" s="23">
        <f t="shared" si="35"/>
        <v>-21002.893213894266</v>
      </c>
      <c r="N113" s="23">
        <f t="shared" si="35"/>
        <v>-20733.384088173574</v>
      </c>
      <c r="O113" s="23">
        <f t="shared" si="35"/>
        <v>-20465.177031608957</v>
      </c>
      <c r="P113" s="23">
        <f t="shared" si="35"/>
        <v>-5299.6622441054551</v>
      </c>
      <c r="Q113" s="23">
        <f t="shared" si="35"/>
        <v>-5225.4563733634914</v>
      </c>
      <c r="R113" s="23">
        <f t="shared" si="35"/>
        <v>-5150.3874671037529</v>
      </c>
      <c r="S113" s="23">
        <f t="shared" si="35"/>
        <v>-5075.4596302323262</v>
      </c>
      <c r="T113" s="23">
        <f t="shared" si="35"/>
        <v>-5000.6981098790038</v>
      </c>
      <c r="U113" s="23">
        <f t="shared" si="35"/>
        <v>-4925.2175726084897</v>
      </c>
      <c r="V113" s="23">
        <f t="shared" si="35"/>
        <v>-4849.9799489693223</v>
      </c>
      <c r="W113" s="23">
        <f t="shared" si="35"/>
        <v>-4775.0089589181543</v>
      </c>
      <c r="X113" s="23">
        <f t="shared" si="35"/>
        <v>-4699.4587671701511</v>
      </c>
      <c r="Y113" s="26">
        <f t="shared" si="35"/>
        <v>-4623.393327564736</v>
      </c>
      <c r="Z113" s="23"/>
      <c r="AB113" s="6">
        <f t="shared" si="33"/>
        <v>-203999.99999999997</v>
      </c>
    </row>
    <row r="114" spans="2:30" x14ac:dyDescent="0.25">
      <c r="C114" s="57" t="s">
        <v>29</v>
      </c>
      <c r="D114" s="23"/>
      <c r="E114" s="23"/>
      <c r="F114" s="52">
        <f>SUM(F111:F113)</f>
        <v>-132946.59285796841</v>
      </c>
      <c r="G114" s="52">
        <f t="shared" ref="G114:Y114" si="36">SUM(G111:G113)</f>
        <v>-136851.08796104384</v>
      </c>
      <c r="H114" s="62">
        <f t="shared" si="36"/>
        <v>-153358.07868331956</v>
      </c>
      <c r="I114" s="62">
        <f t="shared" si="36"/>
        <v>-146463.50028024919</v>
      </c>
      <c r="J114" s="62">
        <f t="shared" si="36"/>
        <v>-156165.73736297278</v>
      </c>
      <c r="K114" s="62">
        <f t="shared" si="36"/>
        <v>-164529.07915143252</v>
      </c>
      <c r="L114" s="62">
        <f t="shared" si="36"/>
        <v>-157005.67270055349</v>
      </c>
      <c r="M114" s="62">
        <f t="shared" si="36"/>
        <v>-163764.26254924713</v>
      </c>
      <c r="N114" s="62">
        <f t="shared" si="36"/>
        <v>-169446.77225818374</v>
      </c>
      <c r="O114" s="62">
        <f t="shared" si="36"/>
        <v>-174141.251454057</v>
      </c>
      <c r="P114" s="62">
        <f t="shared" si="36"/>
        <v>-76018.383965865563</v>
      </c>
      <c r="Q114" s="62">
        <f t="shared" si="36"/>
        <v>-82626.803774177999</v>
      </c>
      <c r="R114" s="62">
        <f t="shared" si="36"/>
        <v>-83412.281236248862</v>
      </c>
      <c r="S114" s="62">
        <f t="shared" si="36"/>
        <v>-83881.862365289417</v>
      </c>
      <c r="T114" s="62">
        <f t="shared" si="36"/>
        <v>-88469.26089700665</v>
      </c>
      <c r="U114" s="62">
        <f t="shared" si="36"/>
        <v>-88143.369165532873</v>
      </c>
      <c r="V114" s="62">
        <f t="shared" si="36"/>
        <v>-87594.716200056107</v>
      </c>
      <c r="W114" s="62">
        <f t="shared" si="36"/>
        <v>-90585.413002923859</v>
      </c>
      <c r="X114" s="62">
        <f t="shared" si="36"/>
        <v>-92980.636921559912</v>
      </c>
      <c r="Y114" s="64">
        <f t="shared" si="36"/>
        <v>-88135.180832163605</v>
      </c>
      <c r="Z114" s="23"/>
      <c r="AB114" s="52">
        <f>SUM(AB111:AB113)</f>
        <v>-1719694.129663608</v>
      </c>
    </row>
    <row r="115" spans="2:30"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x14ac:dyDescent="0.25">
      <c r="C116" s="57" t="s">
        <v>30</v>
      </c>
      <c r="D116" s="23"/>
      <c r="E116" s="23"/>
      <c r="F116" s="52">
        <f t="shared" ref="F116:Y116" si="37">F24+F25</f>
        <v>-80000</v>
      </c>
      <c r="G116" s="52">
        <f t="shared" si="37"/>
        <v>-18992</v>
      </c>
      <c r="H116" s="52">
        <f t="shared" si="37"/>
        <v>-18034.803200000002</v>
      </c>
      <c r="I116" s="52">
        <f t="shared" si="37"/>
        <v>-17124.045638400003</v>
      </c>
      <c r="J116" s="52">
        <f t="shared" si="37"/>
        <v>-16259.281333660801</v>
      </c>
      <c r="K116" s="52">
        <f t="shared" si="37"/>
        <v>-15436.561698177566</v>
      </c>
      <c r="L116" s="52">
        <f t="shared" si="37"/>
        <v>-14653.928020079964</v>
      </c>
      <c r="M116" s="52">
        <f t="shared" si="37"/>
        <v>-13910.973869461908</v>
      </c>
      <c r="N116" s="52">
        <f t="shared" si="37"/>
        <v>-13204.296396893244</v>
      </c>
      <c r="O116" s="52">
        <f t="shared" si="37"/>
        <v>-12532.197710291377</v>
      </c>
      <c r="P116" s="52">
        <f t="shared" si="37"/>
        <v>-3120.517229862553</v>
      </c>
      <c r="Q116" s="52">
        <f t="shared" si="37"/>
        <v>-2958.4843727019406</v>
      </c>
      <c r="R116" s="52">
        <f t="shared" si="37"/>
        <v>-2803.8296021189467</v>
      </c>
      <c r="S116" s="52">
        <f t="shared" si="37"/>
        <v>-2656.7687394878076</v>
      </c>
      <c r="T116" s="52">
        <f t="shared" si="37"/>
        <v>-2516.9562845722621</v>
      </c>
      <c r="U116" s="52">
        <f t="shared" si="37"/>
        <v>-2383.6205253970465</v>
      </c>
      <c r="V116" s="52">
        <f t="shared" si="37"/>
        <v>-2256.9310944721933</v>
      </c>
      <c r="W116" s="52">
        <f t="shared" si="37"/>
        <v>-2136.5802438594637</v>
      </c>
      <c r="X116" s="52">
        <f t="shared" si="37"/>
        <v>-2021.8992992703068</v>
      </c>
      <c r="Y116" s="59">
        <f t="shared" si="37"/>
        <v>-1912.6661896272285</v>
      </c>
      <c r="Z116" s="23"/>
      <c r="AB116" s="3">
        <f>NPV(0.04,F25:Y25)+F24</f>
        <v>-205877.20911183197</v>
      </c>
    </row>
    <row r="117" spans="2:30"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41">
        <f>SUM(K86:K87)*Assumptions!I19+SUM(K8:K11)*Assumptions!I19</f>
        <v>9639.1865468952583</v>
      </c>
      <c r="L118" s="41">
        <f>SUM(L86:L87)*Assumptions!J19+SUM(L8:L11)*Assumptions!J19</f>
        <v>9673.905441788922</v>
      </c>
      <c r="M118" s="41">
        <f>SUM(M86:M87)*Assumptions!K19+SUM(M8:M11)*Assumptions!K19</f>
        <v>9719.9174141634467</v>
      </c>
      <c r="N118" s="41">
        <f>SUM(N86:N87)*Assumptions!L19+SUM(N8:N11)*Assumptions!L19</f>
        <v>9088.0696137260384</v>
      </c>
      <c r="O118" s="41">
        <f>SUM(O86:O87)*Assumptions!M19+SUM(O8:O11)*Assumptions!M19</f>
        <v>7820.9218934270903</v>
      </c>
      <c r="P118" s="41">
        <f>SUM(P86:P87)*Assumptions!N19+SUM(P8:P11)*Assumptions!N19</f>
        <v>5181.8442710784657</v>
      </c>
      <c r="Q118" s="41">
        <f>SUM(Q86:Q87)*Assumptions!O19+SUM(Q8:Q11)*Assumptions!O19</f>
        <v>6324.1517282602763</v>
      </c>
      <c r="R118" s="41">
        <f>SUM(R86:R87)*Assumptions!P19+SUM(R8:R11)*Assumptions!P19</f>
        <v>6947.6341110901922</v>
      </c>
      <c r="S118" s="41">
        <f>SUM(S86:S87)*Assumptions!Q19+SUM(S8:S11)*Assumptions!Q19</f>
        <v>7331.1991963815453</v>
      </c>
      <c r="T118" s="41">
        <f>SUM(T86:T87)*Assumptions!R19+SUM(T8:T11)*Assumptions!R19</f>
        <v>7491.8806761492488</v>
      </c>
      <c r="U118" s="41">
        <f>SUM(U86:U87)*Assumptions!S19+SUM(U8:U11)*Assumptions!S19</f>
        <v>7226.7976729775819</v>
      </c>
      <c r="V118" s="41">
        <f>SUM(V86:V87)*Assumptions!T19+SUM(V8:V11)*Assumptions!T19</f>
        <v>6772.1301478896903</v>
      </c>
      <c r="W118" s="41">
        <f>SUM(W86:W87)*Assumptions!U19+SUM(W8:W11)*Assumptions!U19</f>
        <v>6140.9402716558961</v>
      </c>
      <c r="X118" s="41">
        <f>SUM(X86:X87)*Assumptions!V19+SUM(X8:X11)*Assumptions!V19</f>
        <v>5159.6109248962875</v>
      </c>
      <c r="Y118" s="45">
        <f>SUM(Y86:Y87)*Assumptions!W19+SUM(Y8:Y11)*Assumptions!W19</f>
        <v>3851.8443520300302</v>
      </c>
      <c r="Z118" s="23"/>
      <c r="AB118" s="6">
        <f t="shared" si="33"/>
        <v>88566.135488844884</v>
      </c>
    </row>
    <row r="119" spans="2:30" x14ac:dyDescent="0.25">
      <c r="C119" s="38" t="s">
        <v>32</v>
      </c>
      <c r="D119" s="23"/>
      <c r="E119" s="23"/>
      <c r="F119" s="23">
        <f>-F91</f>
        <v>-40</v>
      </c>
      <c r="G119" s="23">
        <f t="shared" ref="G119:Y119" si="38">-G91</f>
        <v>-2400.2961842125878</v>
      </c>
      <c r="H119" s="23">
        <f t="shared" si="38"/>
        <v>-4724.0208901144979</v>
      </c>
      <c r="I119" s="23">
        <f t="shared" si="38"/>
        <v>-6222.2293179546359</v>
      </c>
      <c r="J119" s="23">
        <f t="shared" si="38"/>
        <v>-7702.4440110252353</v>
      </c>
      <c r="K119" s="41">
        <f t="shared" si="38"/>
        <v>-8568.1658194624524</v>
      </c>
      <c r="L119" s="41">
        <f t="shared" si="38"/>
        <v>-8599.0270593679306</v>
      </c>
      <c r="M119" s="41">
        <f t="shared" si="38"/>
        <v>-8639.9265903675077</v>
      </c>
      <c r="N119" s="41">
        <f t="shared" si="38"/>
        <v>-8078.2841010898119</v>
      </c>
      <c r="O119" s="41">
        <f t="shared" si="38"/>
        <v>-6951.9305719351914</v>
      </c>
      <c r="P119" s="41">
        <f t="shared" si="38"/>
        <v>-4606.0837965141918</v>
      </c>
      <c r="Q119" s="41">
        <f t="shared" si="38"/>
        <v>-5621.4682028980242</v>
      </c>
      <c r="R119" s="41">
        <f t="shared" si="38"/>
        <v>-6175.6747654135042</v>
      </c>
      <c r="S119" s="41">
        <f t="shared" si="38"/>
        <v>-6516.621507894708</v>
      </c>
      <c r="T119" s="41">
        <f t="shared" si="38"/>
        <v>-6659.4494899104429</v>
      </c>
      <c r="U119" s="41">
        <f t="shared" si="38"/>
        <v>-6423.8201537578498</v>
      </c>
      <c r="V119" s="41">
        <f t="shared" si="38"/>
        <v>-6019.6712425686146</v>
      </c>
      <c r="W119" s="41">
        <f t="shared" si="38"/>
        <v>-5458.6135748052411</v>
      </c>
      <c r="X119" s="41">
        <f t="shared" si="38"/>
        <v>-4586.3208221300338</v>
      </c>
      <c r="Y119" s="45">
        <f t="shared" si="38"/>
        <v>-3423.8616462489163</v>
      </c>
      <c r="Z119" s="23"/>
      <c r="AB119" s="6">
        <f t="shared" si="33"/>
        <v>-78725.453767862142</v>
      </c>
    </row>
    <row r="120" spans="2:30" x14ac:dyDescent="0.25">
      <c r="C120" s="57" t="s">
        <v>61</v>
      </c>
      <c r="D120" s="23"/>
      <c r="E120" s="23"/>
      <c r="F120" s="52">
        <f>SUM(F118:F119)</f>
        <v>5</v>
      </c>
      <c r="G120" s="52">
        <f t="shared" ref="G120:Y120" si="39">SUM(G118:G119)</f>
        <v>300.0370230265753</v>
      </c>
      <c r="H120" s="52">
        <f t="shared" si="39"/>
        <v>590.50261126431178</v>
      </c>
      <c r="I120" s="52">
        <f t="shared" si="39"/>
        <v>777.77866474432903</v>
      </c>
      <c r="J120" s="52">
        <f t="shared" si="39"/>
        <v>962.80550137815317</v>
      </c>
      <c r="K120" s="62">
        <f t="shared" si="39"/>
        <v>1071.0207274328059</v>
      </c>
      <c r="L120" s="62">
        <f t="shared" si="39"/>
        <v>1074.8783824209913</v>
      </c>
      <c r="M120" s="62">
        <f t="shared" si="39"/>
        <v>1079.9908237959389</v>
      </c>
      <c r="N120" s="62">
        <f t="shared" si="39"/>
        <v>1009.7855126362265</v>
      </c>
      <c r="O120" s="62">
        <f t="shared" si="39"/>
        <v>868.99132149189882</v>
      </c>
      <c r="P120" s="62">
        <f t="shared" si="39"/>
        <v>575.76047456427386</v>
      </c>
      <c r="Q120" s="62">
        <f t="shared" si="39"/>
        <v>702.68352536225211</v>
      </c>
      <c r="R120" s="62">
        <f t="shared" si="39"/>
        <v>771.95934567668792</v>
      </c>
      <c r="S120" s="62">
        <f t="shared" si="39"/>
        <v>814.57768848683736</v>
      </c>
      <c r="T120" s="62">
        <f t="shared" si="39"/>
        <v>832.43118623880582</v>
      </c>
      <c r="U120" s="62">
        <f t="shared" si="39"/>
        <v>802.97751921973213</v>
      </c>
      <c r="V120" s="62">
        <f t="shared" si="39"/>
        <v>752.45890532107569</v>
      </c>
      <c r="W120" s="62">
        <f t="shared" si="39"/>
        <v>682.32669685065503</v>
      </c>
      <c r="X120" s="62">
        <f t="shared" si="39"/>
        <v>573.29010276625377</v>
      </c>
      <c r="Y120" s="64">
        <f t="shared" si="39"/>
        <v>427.98270578111396</v>
      </c>
      <c r="Z120" s="23"/>
      <c r="AB120" s="52">
        <f>SUM(AB118:AB119)</f>
        <v>9840.6817209827423</v>
      </c>
      <c r="AC120" s="7"/>
      <c r="AD120" s="7"/>
    </row>
    <row r="121" spans="2:30"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x14ac:dyDescent="0.25">
      <c r="C122" s="58" t="s">
        <v>96</v>
      </c>
      <c r="D122" s="28"/>
      <c r="E122" s="28"/>
      <c r="F122" s="60">
        <f t="shared" ref="F122:Y122" si="40">F109+F114+F116+F120</f>
        <v>-64027.804605314741</v>
      </c>
      <c r="G122" s="60">
        <f>G109+G114+G116+G120</f>
        <v>-3226.8882803085517</v>
      </c>
      <c r="H122" s="63">
        <f t="shared" si="40"/>
        <v>-5165.0175907046269</v>
      </c>
      <c r="I122" s="63">
        <f t="shared" si="40"/>
        <v>-4391.9610551439428</v>
      </c>
      <c r="J122" s="63">
        <f t="shared" si="40"/>
        <v>-4932.987832054986</v>
      </c>
      <c r="K122" s="63">
        <f t="shared" si="40"/>
        <v>1053.8030875556669</v>
      </c>
      <c r="L122" s="63">
        <f t="shared" si="40"/>
        <v>1233.7270249051653</v>
      </c>
      <c r="M122" s="63">
        <f t="shared" si="40"/>
        <v>2794.8467141383298</v>
      </c>
      <c r="N122" s="63">
        <f t="shared" si="40"/>
        <v>4128.7003830582125</v>
      </c>
      <c r="O122" s="63">
        <f t="shared" si="40"/>
        <v>5250.9084710203997</v>
      </c>
      <c r="P122" s="63">
        <f t="shared" si="40"/>
        <v>4596.9801772290384</v>
      </c>
      <c r="Q122" s="63">
        <f t="shared" si="40"/>
        <v>5593.6037184060142</v>
      </c>
      <c r="R122" s="63">
        <f t="shared" si="40"/>
        <v>5940.2914498899308</v>
      </c>
      <c r="S122" s="63">
        <f t="shared" si="40"/>
        <v>6218.5628397680621</v>
      </c>
      <c r="T122" s="63">
        <f t="shared" si="40"/>
        <v>6874.148177344744</v>
      </c>
      <c r="U122" s="63">
        <f t="shared" si="40"/>
        <v>6982.3284045000464</v>
      </c>
      <c r="V122" s="63">
        <f t="shared" si="40"/>
        <v>7038.2808938858625</v>
      </c>
      <c r="W122" s="63">
        <f t="shared" si="40"/>
        <v>7420.0835717880936</v>
      </c>
      <c r="X122" s="63">
        <f t="shared" si="40"/>
        <v>7695.76371815111</v>
      </c>
      <c r="Y122" s="65">
        <f t="shared" si="40"/>
        <v>7203.7393542824648</v>
      </c>
      <c r="Z122" s="23"/>
      <c r="AB122" s="3">
        <f>AB109+AB114+AB116+AB120</f>
        <v>-33596.346221137705</v>
      </c>
      <c r="AC122" s="2">
        <f>NPV(0.04,F118:Y118)+NPV(0.04,F119:Y119)</f>
        <v>9840.6817209827423</v>
      </c>
      <c r="AD122" s="3">
        <f>AB122-AC122</f>
        <v>-43437.027942120447</v>
      </c>
    </row>
    <row r="124" spans="2:30" x14ac:dyDescent="0.25">
      <c r="C124" s="66" t="s">
        <v>40</v>
      </c>
      <c r="F124" s="2">
        <f>Base!F124</f>
        <v>-64027.804605314726</v>
      </c>
      <c r="G124" s="2">
        <f>Base!G124</f>
        <v>-3226.8882803085589</v>
      </c>
      <c r="H124" s="2">
        <f>Base!H124</f>
        <v>-656.3167907046136</v>
      </c>
      <c r="I124" s="2">
        <f>Base!I124</f>
        <v>-110.94964554394664</v>
      </c>
      <c r="J124" s="2">
        <f>Base!J124</f>
        <v>2036.3178295739826</v>
      </c>
      <c r="K124" s="2">
        <f>Base!K124</f>
        <v>3907.0997663450235</v>
      </c>
      <c r="L124" s="2">
        <f>Base!L124</f>
        <v>4054.8978116505332</v>
      </c>
      <c r="M124" s="2">
        <f>Base!M124</f>
        <v>5583.7354455159621</v>
      </c>
      <c r="N124" s="2">
        <f>Base!N124</f>
        <v>6884.8767194601751</v>
      </c>
      <c r="O124" s="2">
        <f>Base!O124</f>
        <v>7973.9679692968384</v>
      </c>
      <c r="P124" s="2">
        <f>Base!P124</f>
        <v>5303.6778068502263</v>
      </c>
      <c r="Q124" s="2">
        <f>Base!Q124</f>
        <v>6290.8538173058441</v>
      </c>
      <c r="R124" s="2">
        <f>Base!R124</f>
        <v>6627.8431376822091</v>
      </c>
      <c r="S124" s="2">
        <f>Base!S124</f>
        <v>6896.3032288141512</v>
      </c>
      <c r="T124" s="2">
        <f>Base!T124</f>
        <v>7541.9718721591971</v>
      </c>
      <c r="U124" s="2">
        <f>Base!U124</f>
        <v>7640.0160289516489</v>
      </c>
      <c r="V124" s="2">
        <f>Base!V124</f>
        <v>7685.7447224902253</v>
      </c>
      <c r="W124" s="2">
        <f>Base!W124</f>
        <v>8057.2423800221832</v>
      </c>
      <c r="X124" s="2">
        <f>Base!X124</f>
        <v>8322.4267864143785</v>
      </c>
      <c r="Y124" s="2">
        <f>Base!Y124</f>
        <v>7819.7274020805598</v>
      </c>
      <c r="Z124" s="23"/>
    </row>
    <row r="125" spans="2:30" x14ac:dyDescent="0.25">
      <c r="B125" s="4"/>
      <c r="C125" s="2" t="s">
        <v>2</v>
      </c>
      <c r="F125" s="2">
        <f>F122-F124</f>
        <v>0</v>
      </c>
      <c r="G125" s="2">
        <f t="shared" ref="G125:Y125" si="41">G122-G124</f>
        <v>7.2759576141834259E-12</v>
      </c>
      <c r="H125" s="2">
        <f t="shared" si="41"/>
        <v>-4508.7008000000133</v>
      </c>
      <c r="I125" s="2">
        <f t="shared" si="41"/>
        <v>-4281.0114095999961</v>
      </c>
      <c r="J125" s="2">
        <f t="shared" si="41"/>
        <v>-6969.3056616289687</v>
      </c>
      <c r="K125" s="2">
        <f t="shared" si="41"/>
        <v>-2853.2966787893565</v>
      </c>
      <c r="L125" s="2">
        <f t="shared" si="41"/>
        <v>-2821.1707867453679</v>
      </c>
      <c r="M125" s="2">
        <f t="shared" si="41"/>
        <v>-2788.8887313776322</v>
      </c>
      <c r="N125" s="2">
        <f t="shared" si="41"/>
        <v>-2756.1763364019625</v>
      </c>
      <c r="O125" s="2">
        <f t="shared" si="41"/>
        <v>-2723.0594982764387</v>
      </c>
      <c r="P125" s="2">
        <f t="shared" si="41"/>
        <v>-706.69762962118784</v>
      </c>
      <c r="Q125" s="2">
        <f t="shared" si="41"/>
        <v>-697.25009889982994</v>
      </c>
      <c r="R125" s="2">
        <f t="shared" si="41"/>
        <v>-687.55168779227824</v>
      </c>
      <c r="S125" s="2">
        <f t="shared" si="41"/>
        <v>-677.74038904608915</v>
      </c>
      <c r="T125" s="2">
        <f t="shared" si="41"/>
        <v>-667.82369481445312</v>
      </c>
      <c r="U125" s="2">
        <f t="shared" si="41"/>
        <v>-657.68762445160246</v>
      </c>
      <c r="V125" s="2">
        <f t="shared" si="41"/>
        <v>-647.46382860436279</v>
      </c>
      <c r="W125" s="2">
        <f t="shared" si="41"/>
        <v>-637.15880823408952</v>
      </c>
      <c r="X125" s="2">
        <f t="shared" si="41"/>
        <v>-626.66306826326854</v>
      </c>
      <c r="Y125" s="2">
        <f t="shared" si="41"/>
        <v>-615.98804779809507</v>
      </c>
    </row>
    <row r="126" spans="2:30"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D164"/>
  <sheetViews>
    <sheetView zoomScale="90" zoomScaleNormal="90" workbookViewId="0">
      <pane xSplit="5" ySplit="5" topLeftCell="F6" activePane="bottomRight" state="frozen"/>
      <selection pane="topRight" activeCell="F1" sqref="F1"/>
      <selection pane="bottomLeft" activeCell="A6" sqref="A6"/>
      <selection pane="bottomRight" activeCell="B3" sqref="B3"/>
    </sheetView>
  </sheetViews>
  <sheetFormatPr defaultColWidth="9.125" defaultRowHeight="14.3" x14ac:dyDescent="0.25"/>
  <cols>
    <col min="1" max="1" width="4.125" style="2" customWidth="1"/>
    <col min="2" max="2" width="5.625" style="2" customWidth="1"/>
    <col min="3" max="3" width="46.75" style="2" bestFit="1" customWidth="1"/>
    <col min="4" max="4" width="1.25" style="2" customWidth="1"/>
    <col min="5" max="6" width="10.125" style="2" customWidth="1"/>
    <col min="7" max="27" width="9.125" style="2"/>
    <col min="28" max="28" width="12.125" style="2" customWidth="1"/>
    <col min="29" max="16384" width="9.125" style="2"/>
  </cols>
  <sheetData>
    <row r="2" spans="2:28" ht="15.8" x14ac:dyDescent="0.25">
      <c r="B2" s="13" t="s">
        <v>124</v>
      </c>
    </row>
    <row r="3" spans="2:28" ht="14.95" x14ac:dyDescent="0.25">
      <c r="B3" s="4" t="s">
        <v>93</v>
      </c>
    </row>
    <row r="5" spans="2:28" ht="14.95"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ht="14.95" x14ac:dyDescent="0.25">
      <c r="F6" s="1"/>
      <c r="G6" s="1"/>
      <c r="H6" s="1"/>
      <c r="I6" s="1"/>
      <c r="J6" s="1"/>
      <c r="K6" s="1"/>
      <c r="L6" s="1"/>
      <c r="M6" s="1"/>
      <c r="N6" s="1"/>
      <c r="O6" s="1"/>
      <c r="P6" s="1"/>
      <c r="Q6" s="1"/>
      <c r="R6" s="1"/>
      <c r="S6" s="1"/>
      <c r="T6" s="1"/>
      <c r="U6" s="1"/>
      <c r="V6" s="1"/>
      <c r="W6" s="1"/>
      <c r="X6" s="1"/>
      <c r="Y6" s="1"/>
    </row>
    <row r="7" spans="2:28" ht="14.95" x14ac:dyDescent="0.25">
      <c r="C7" s="3" t="s">
        <v>44</v>
      </c>
      <c r="F7" s="1"/>
      <c r="G7" s="1"/>
      <c r="H7" s="1"/>
      <c r="I7" s="1"/>
      <c r="J7" s="1"/>
      <c r="K7" s="1"/>
      <c r="L7" s="1"/>
      <c r="M7" s="1"/>
      <c r="N7" s="1"/>
      <c r="O7" s="1"/>
      <c r="P7" s="1"/>
      <c r="Q7" s="1"/>
      <c r="R7" s="1"/>
      <c r="S7" s="1"/>
      <c r="T7" s="1"/>
      <c r="U7" s="1"/>
      <c r="V7" s="1"/>
      <c r="W7" s="1"/>
      <c r="X7" s="1"/>
      <c r="Y7" s="1"/>
    </row>
    <row r="8" spans="2:28" ht="14.95" x14ac:dyDescent="0.25">
      <c r="B8" s="2" t="s">
        <v>22</v>
      </c>
      <c r="C8" s="30" t="s">
        <v>0</v>
      </c>
      <c r="D8" s="20"/>
      <c r="E8" s="20"/>
      <c r="F8" s="20">
        <f>Base!F36*(Assumptions!D8*Assumptions!$D$6/1000+Assumptions!D9)</f>
        <v>205000</v>
      </c>
      <c r="G8" s="20">
        <f>Base!G36*(Assumptions!E8*Assumptions!$D$6/1000+Assumptions!E9)</f>
        <v>194668</v>
      </c>
      <c r="H8" s="20">
        <f>Base!H36*(Assumptions!F8*Assumptions!$D$6/1000+Assumptions!F9)</f>
        <v>184856.7328</v>
      </c>
      <c r="I8" s="20">
        <f>Base!I36*(Assumptions!G8*Assumptions!$D$6/1000+Assumptions!G9)</f>
        <v>175521.46779360002</v>
      </c>
      <c r="J8" s="20">
        <f>Base!J36*(Assumptions!H8*Assumptions!$D$6/1000+Assumptions!H9)</f>
        <v>166657.63367002321</v>
      </c>
      <c r="K8" s="20">
        <f>Base!K36*(Assumptions!I8*Assumptions!$D$6/1000+Assumptions!I9)</f>
        <v>158224.75740632004</v>
      </c>
      <c r="L8" s="20">
        <f>Base!L36*(Assumptions!J8*Assumptions!$D$6/1000+Assumptions!J9)</f>
        <v>150202.76220581963</v>
      </c>
      <c r="M8" s="20">
        <f>Base!M36*(Assumptions!K8*Assumptions!$D$6/1000+Assumptions!K9)</f>
        <v>142587.48216198458</v>
      </c>
      <c r="N8" s="20">
        <f>Base!N36*(Assumptions!L8*Assumptions!$D$6/1000+Assumptions!L9)</f>
        <v>135344.03806815576</v>
      </c>
      <c r="O8" s="20">
        <f>Base!O36*(Assumptions!M8*Assumptions!$D$6/1000+Assumptions!M9)</f>
        <v>128455.02653048662</v>
      </c>
      <c r="P8" s="20">
        <f>Base!P36*(Assumptions!N8*Assumptions!$D$6/1000+Assumptions!N9)</f>
        <v>103757.19789292989</v>
      </c>
      <c r="Q8" s="20">
        <f>Base!Q36*(Assumptions!O8*Assumptions!$D$6/1000+Assumptions!O9)</f>
        <v>98369.605392339523</v>
      </c>
      <c r="R8" s="20">
        <f>Base!R36*(Assumptions!P8*Assumptions!$D$6/1000+Assumptions!P9)</f>
        <v>93227.334270454972</v>
      </c>
      <c r="S8" s="20">
        <f>Base!S36*(Assumptions!Q8*Assumptions!$D$6/1000+Assumptions!Q9)</f>
        <v>88337.560587969609</v>
      </c>
      <c r="T8" s="20">
        <f>Base!T36*(Assumptions!R8*Assumptions!$D$6/1000+Assumptions!R9)</f>
        <v>83688.79646202772</v>
      </c>
      <c r="U8" s="20">
        <f>Base!U36*(Assumptions!S8*Assumptions!$D$6/1000+Assumptions!S9)</f>
        <v>79255.382469451797</v>
      </c>
      <c r="V8" s="20">
        <f>Base!V36*(Assumptions!T8*Assumptions!$D$6/1000+Assumptions!T9)</f>
        <v>75042.958891200426</v>
      </c>
      <c r="W8" s="20">
        <f>Base!W36*(Assumptions!U8*Assumptions!$D$6/1000+Assumptions!U9)</f>
        <v>71041.293108327169</v>
      </c>
      <c r="X8" s="20">
        <f>Base!X36*(Assumptions!V8*Assumptions!$D$6/1000+Assumptions!V9)</f>
        <v>67228.151700737697</v>
      </c>
      <c r="Y8" s="21">
        <f>Base!Y36*(Assumptions!W8*Assumptions!$D$6/1000+Assumptions!W9)</f>
        <v>63596.150805105346</v>
      </c>
      <c r="Z8" s="23"/>
    </row>
    <row r="9" spans="2:28" ht="14.95"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ht="14.95"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ht="14.95" x14ac:dyDescent="0.25">
      <c r="B11" s="2" t="s">
        <v>22</v>
      </c>
      <c r="C11" s="31" t="s">
        <v>19</v>
      </c>
      <c r="D11" s="23"/>
      <c r="E11" s="23"/>
      <c r="F11" s="23">
        <f>-Base!F36*Assumptions!D11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ht="14.95" x14ac:dyDescent="0.25">
      <c r="B12" s="2" t="s">
        <v>23</v>
      </c>
      <c r="C12" s="31" t="s">
        <v>66</v>
      </c>
      <c r="D12" s="23"/>
      <c r="E12" s="23"/>
      <c r="F12" s="23">
        <f>-Base!F36*Assumptions!D13</f>
        <v>-30000</v>
      </c>
      <c r="G12" s="23">
        <f>-Base!G36*Assumptions!E13</f>
        <v>-28488</v>
      </c>
      <c r="H12" s="23">
        <f>-Base!H36*Assumptions!F13</f>
        <v>-27052.204800000003</v>
      </c>
      <c r="I12" s="23">
        <f>-Base!I36*Assumptions!G13</f>
        <v>-25686.068457600006</v>
      </c>
      <c r="J12" s="23">
        <f>-Base!J36*Assumptions!H13</f>
        <v>-24388.922000491202</v>
      </c>
      <c r="K12" s="23">
        <f>-Base!K36*Assumptions!I13</f>
        <v>-23154.842547266348</v>
      </c>
      <c r="L12" s="23">
        <f>-Base!L36*Assumptions!J13</f>
        <v>-21980.892030119947</v>
      </c>
      <c r="M12" s="23">
        <f>-Base!M36*Assumptions!K13</f>
        <v>-20866.460804192862</v>
      </c>
      <c r="N12" s="23">
        <f>-Base!N36*Assumptions!L13</f>
        <v>-19806.444595339864</v>
      </c>
      <c r="O12" s="23">
        <f>-Base!O36*Assumptions!M13</f>
        <v>-18798.296565437067</v>
      </c>
      <c r="P12" s="23">
        <f>-Base!P36*Assumptions!N13</f>
        <v>-4680.7758447938295</v>
      </c>
      <c r="Q12" s="23">
        <f>-Base!Q36*Assumptions!O13</f>
        <v>-4437.7265590529105</v>
      </c>
      <c r="R12" s="23">
        <f>-Base!R36*Assumptions!P13</f>
        <v>-4205.7444031784198</v>
      </c>
      <c r="S12" s="23">
        <f>-Base!S36*Assumptions!Q13</f>
        <v>-3985.1531092317118</v>
      </c>
      <c r="T12" s="23">
        <f>-Base!T36*Assumptions!R13</f>
        <v>-3775.4344268583932</v>
      </c>
      <c r="U12" s="23">
        <f>-Base!U36*Assumptions!S13</f>
        <v>-3575.4307880955698</v>
      </c>
      <c r="V12" s="23">
        <f>-Base!V36*Assumptions!T13</f>
        <v>-3385.3966417082902</v>
      </c>
      <c r="W12" s="23">
        <f>-Base!W36*Assumptions!U13</f>
        <v>-3204.8703657891956</v>
      </c>
      <c r="X12" s="23">
        <f>-Base!X36*Assumptions!V13</f>
        <v>-3032.84894890546</v>
      </c>
      <c r="Y12" s="26">
        <f>-Base!Y36*Assumptions!W13</f>
        <v>-2868.9992844408425</v>
      </c>
      <c r="Z12" s="23"/>
    </row>
    <row r="13" spans="2:28" ht="14.95" x14ac:dyDescent="0.25">
      <c r="B13" s="2" t="s">
        <v>22</v>
      </c>
      <c r="C13" s="31" t="s">
        <v>20</v>
      </c>
      <c r="D13" s="23"/>
      <c r="E13" s="23"/>
      <c r="F13" s="23">
        <f>-Base!F36*Assumptions!D12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ht="14.95" x14ac:dyDescent="0.25">
      <c r="B14" s="2" t="s">
        <v>23</v>
      </c>
      <c r="C14" s="31" t="s">
        <v>67</v>
      </c>
      <c r="D14" s="23"/>
      <c r="E14" s="23"/>
      <c r="F14" s="23">
        <f>-Base!F36*Assumptions!D14</f>
        <v>-20000</v>
      </c>
      <c r="G14" s="23">
        <f>-Base!G36*Assumptions!E14</f>
        <v>-18992</v>
      </c>
      <c r="H14" s="23">
        <f>-Base!H36*Assumptions!F14</f>
        <v>-18034.803200000002</v>
      </c>
      <c r="I14" s="23">
        <f>-Base!I36*Assumptions!G14</f>
        <v>-17124.045638400003</v>
      </c>
      <c r="J14" s="23">
        <f>-Base!J36*Assumptions!H14</f>
        <v>-16259.281333660801</v>
      </c>
      <c r="K14" s="23">
        <f>-Base!K36*Assumptions!I14</f>
        <v>-15436.561698177566</v>
      </c>
      <c r="L14" s="23">
        <f>-Base!L36*Assumptions!J14</f>
        <v>-14653.928020079964</v>
      </c>
      <c r="M14" s="23">
        <f>-Base!M36*Assumptions!K14</f>
        <v>-13910.973869461908</v>
      </c>
      <c r="N14" s="23">
        <f>-Base!N36*Assumptions!L14</f>
        <v>-13204.296396893244</v>
      </c>
      <c r="O14" s="23">
        <f>-Base!O36*Assumptions!M14</f>
        <v>-12532.197710291377</v>
      </c>
      <c r="P14" s="23">
        <f>-Base!P36*Assumptions!N14</f>
        <v>-3120.517229862553</v>
      </c>
      <c r="Q14" s="23">
        <f>-Base!Q36*Assumptions!O14</f>
        <v>-2958.4843727019406</v>
      </c>
      <c r="R14" s="23">
        <f>-Base!R36*Assumptions!P14</f>
        <v>-2803.8296021189467</v>
      </c>
      <c r="S14" s="23">
        <f>-Base!S36*Assumptions!Q14</f>
        <v>-2656.7687394878076</v>
      </c>
      <c r="T14" s="23">
        <f>-Base!T36*Assumptions!R14</f>
        <v>-2516.9562845722621</v>
      </c>
      <c r="U14" s="23">
        <f>-Base!U36*Assumptions!S14</f>
        <v>-2383.6205253970465</v>
      </c>
      <c r="V14" s="23">
        <f>-Base!V36*Assumptions!T14</f>
        <v>-2256.9310944721933</v>
      </c>
      <c r="W14" s="23">
        <f>-Base!W36*Assumptions!U14</f>
        <v>-2136.5802438594637</v>
      </c>
      <c r="X14" s="23">
        <f>-Base!X36*Assumptions!V14</f>
        <v>-2021.8992992703068</v>
      </c>
      <c r="Y14" s="26">
        <f>-Base!Y36*Assumptions!W14</f>
        <v>-1912.6661896272285</v>
      </c>
      <c r="Z14" s="23"/>
    </row>
    <row r="15" spans="2:28" ht="14.95" x14ac:dyDescent="0.25">
      <c r="B15" s="2" t="s">
        <v>23</v>
      </c>
      <c r="C15" s="31" t="s">
        <v>1</v>
      </c>
      <c r="D15" s="23"/>
      <c r="E15" s="23"/>
      <c r="F15" s="23">
        <f>-Base!F37*Assumptions!$D$6</f>
        <v>-80000</v>
      </c>
      <c r="G15" s="23">
        <f>-Base!G37*Assumptions!$D$6</f>
        <v>-75968</v>
      </c>
      <c r="H15" s="23">
        <f>-Base!H37*Assumptions!$D$6</f>
        <v>-90174.016000000018</v>
      </c>
      <c r="I15" s="23">
        <f>-Base!I37*Assumptions!$D$6</f>
        <v>-85620.22819200001</v>
      </c>
      <c r="J15" s="23">
        <f>-Base!J37*Assumptions!$D$6</f>
        <v>-97555.688001964809</v>
      </c>
      <c r="K15" s="23">
        <f>-Base!K37*Assumptions!$D$6</f>
        <v>-108055.93188724296</v>
      </c>
      <c r="L15" s="23">
        <f>-Base!L37*Assumptions!$D$6</f>
        <v>-102577.49614055976</v>
      </c>
      <c r="M15" s="23">
        <f>-Base!M37*Assumptions!$D$6</f>
        <v>-111287.79095569528</v>
      </c>
      <c r="N15" s="23">
        <f>-Base!N37*Assumptions!$D$6</f>
        <v>-118838.66757203921</v>
      </c>
      <c r="O15" s="23">
        <f>-Base!O37*Assumptions!$D$6</f>
        <v>-125321.97710291378</v>
      </c>
      <c r="P15" s="23">
        <f>-Base!P37*Assumptions!$D$6</f>
        <v>-60069.956674854155</v>
      </c>
      <c r="Q15" s="23">
        <f>-Base!Q37*Assumptions!$D$6</f>
        <v>-67305.519478969145</v>
      </c>
      <c r="R15" s="23">
        <f>-Base!R37*Assumptions!$D$6</f>
        <v>-68693.825251914212</v>
      </c>
      <c r="S15" s="23">
        <f>-Base!S37*Assumptions!$D$6</f>
        <v>-69740.179411554956</v>
      </c>
      <c r="T15" s="23">
        <f>-Base!T37*Assumptions!$D$6</f>
        <v>-74879.449466024802</v>
      </c>
      <c r="U15" s="23">
        <f>-Base!U37*Assumptions!$D$6</f>
        <v>-75084.046550006969</v>
      </c>
      <c r="V15" s="23">
        <f>-Base!V37*Assumptions!$D$6</f>
        <v>-75042.958891200426</v>
      </c>
      <c r="W15" s="23">
        <f>-Base!W37*Assumptions!$D$6</f>
        <v>-78519.323961835282</v>
      </c>
      <c r="X15" s="23">
        <f>-Base!X37*Assumptions!$D$6</f>
        <v>-81381.446795629847</v>
      </c>
      <c r="Y15" s="26">
        <f>-Base!Y37*Assumptions!$D$6</f>
        <v>-76984.814132495943</v>
      </c>
      <c r="Z15" s="23"/>
    </row>
    <row r="16" spans="2:28" ht="14.95" x14ac:dyDescent="0.25">
      <c r="C16" s="32" t="s">
        <v>21</v>
      </c>
      <c r="D16" s="28"/>
      <c r="E16" s="28"/>
      <c r="F16" s="28">
        <f t="shared" ref="F16" si="1">SUM(F8:F15)</f>
        <v>-189000</v>
      </c>
      <c r="G16" s="28">
        <f>SUM(G8:G15)</f>
        <v>61486.600000000006</v>
      </c>
      <c r="H16" s="28">
        <f t="shared" ref="H16:Y16" si="2">SUM(H8:H15)</f>
        <v>40352.872159999984</v>
      </c>
      <c r="I16" s="28">
        <f t="shared" si="2"/>
        <v>38315.052115920014</v>
      </c>
      <c r="J16" s="28">
        <f t="shared" si="2"/>
        <v>20120.860650405244</v>
      </c>
      <c r="K16" s="28">
        <f t="shared" si="2"/>
        <v>3666.1834033171763</v>
      </c>
      <c r="L16" s="28">
        <f t="shared" si="2"/>
        <v>3480.307904768968</v>
      </c>
      <c r="M16" s="28">
        <f t="shared" si="2"/>
        <v>-10607.117575464697</v>
      </c>
      <c r="N16" s="28">
        <f t="shared" si="2"/>
        <v>-23272.572399524346</v>
      </c>
      <c r="O16" s="28">
        <f t="shared" si="2"/>
        <v>-34620.196174679935</v>
      </c>
      <c r="P16" s="28">
        <f t="shared" si="2"/>
        <v>30698.088248772867</v>
      </c>
      <c r="Q16" s="28">
        <f t="shared" si="2"/>
        <v>18749.394711998539</v>
      </c>
      <c r="R16" s="28">
        <f t="shared" si="2"/>
        <v>12862.568299720646</v>
      </c>
      <c r="S16" s="28">
        <f t="shared" si="2"/>
        <v>7538.58129829666</v>
      </c>
      <c r="T16" s="28">
        <f t="shared" si="2"/>
        <v>-1667.4835385291371</v>
      </c>
      <c r="U16" s="28">
        <f t="shared" si="2"/>
        <v>-5750.4845175203809</v>
      </c>
      <c r="V16" s="28">
        <f t="shared" si="2"/>
        <v>-9394.4756807405065</v>
      </c>
      <c r="W16" s="28">
        <f t="shared" si="2"/>
        <v>-16371.546118573126</v>
      </c>
      <c r="X16" s="28">
        <f t="shared" si="2"/>
        <v>-22569.450928104801</v>
      </c>
      <c r="Y16" s="29">
        <f t="shared" si="2"/>
        <v>-21350.136341713936</v>
      </c>
      <c r="Z16" s="23"/>
      <c r="AB16" s="9"/>
    </row>
    <row r="18" spans="2:28" ht="14.95" x14ac:dyDescent="0.25">
      <c r="C18" s="3" t="s">
        <v>94</v>
      </c>
      <c r="F18" s="1"/>
      <c r="G18" s="1"/>
      <c r="H18" s="1"/>
      <c r="I18" s="1"/>
      <c r="J18" s="1"/>
      <c r="K18" s="1"/>
      <c r="L18" s="1"/>
      <c r="M18" s="1"/>
      <c r="N18" s="1"/>
      <c r="O18" s="1"/>
      <c r="P18" s="1"/>
      <c r="Q18" s="1"/>
      <c r="R18" s="1"/>
      <c r="S18" s="1"/>
      <c r="T18" s="1"/>
      <c r="U18" s="1"/>
      <c r="V18" s="1"/>
      <c r="W18" s="1"/>
      <c r="X18" s="1"/>
      <c r="Y18" s="1"/>
      <c r="AB18" s="7" t="s">
        <v>47</v>
      </c>
    </row>
    <row r="19" spans="2:28" ht="14.95" x14ac:dyDescent="0.25">
      <c r="B19" s="2" t="s">
        <v>22</v>
      </c>
      <c r="C19" s="30" t="s">
        <v>0</v>
      </c>
      <c r="D19" s="20"/>
      <c r="E19" s="20"/>
      <c r="F19" s="20">
        <f t="shared" ref="F19:Y25" si="3">F8</f>
        <v>205000</v>
      </c>
      <c r="G19" s="20">
        <f t="shared" si="3"/>
        <v>194668</v>
      </c>
      <c r="H19" s="20">
        <f t="shared" si="3"/>
        <v>184856.7328</v>
      </c>
      <c r="I19" s="20">
        <f t="shared" si="3"/>
        <v>175521.46779360002</v>
      </c>
      <c r="J19" s="20">
        <f t="shared" si="3"/>
        <v>166657.63367002321</v>
      </c>
      <c r="K19" s="20">
        <f t="shared" si="3"/>
        <v>158224.75740632004</v>
      </c>
      <c r="L19" s="20">
        <f t="shared" si="3"/>
        <v>150202.76220581963</v>
      </c>
      <c r="M19" s="20">
        <f t="shared" si="3"/>
        <v>142587.48216198458</v>
      </c>
      <c r="N19" s="20">
        <f>N36*(Assumptions!L8*Assumptions!$D$6/1000+Assumptions!L9)</f>
        <v>135344.03806815576</v>
      </c>
      <c r="O19" s="48">
        <f>O36*(Assumptions!M8*Assumptions!$D$6/1000+Assumptions!M9)</f>
        <v>121687.82462707884</v>
      </c>
      <c r="P19" s="48">
        <f>P36*(Assumptions!N8*Assumptions!$D$6/1000+Assumptions!N9)</f>
        <v>98291.114345730937</v>
      </c>
      <c r="Q19" s="48">
        <f>Q36*(Assumptions!O8*Assumptions!$D$6/1000+Assumptions!O9)</f>
        <v>93187.34823332887</v>
      </c>
      <c r="R19" s="48">
        <f>R36*(Assumptions!P8*Assumptions!$D$6/1000+Assumptions!P9)</f>
        <v>88315.979604431603</v>
      </c>
      <c r="S19" s="48">
        <f>S36*(Assumptions!Q8*Assumptions!$D$6/1000+Assumptions!Q9)</f>
        <v>83683.806474179146</v>
      </c>
      <c r="T19" s="48">
        <f>T36*(Assumptions!R8*Assumptions!$D$6/1000+Assumptions!R9)</f>
        <v>79279.946158475475</v>
      </c>
      <c r="U19" s="48">
        <f>U36*(Assumptions!S8*Assumptions!$D$6/1000+Assumptions!S9)</f>
        <v>75080.091010730233</v>
      </c>
      <c r="V19" s="48">
        <f>V36*(Assumptions!T8*Assumptions!$D$6/1000+Assumptions!T9)</f>
        <v>71089.584173509924</v>
      </c>
      <c r="W19" s="48">
        <f>W36*(Assumptions!U8*Assumptions!$D$6/1000+Assumptions!U9)</f>
        <v>67298.732097457512</v>
      </c>
      <c r="X19" s="48">
        <f>X36*(Assumptions!V8*Assumptions!$D$6/1000+Assumptions!V9)</f>
        <v>63686.472652126475</v>
      </c>
      <c r="Y19" s="49">
        <f>Y36*(Assumptions!W8*Assumptions!$D$6/1000+Assumptions!W9)</f>
        <v>60245.810967095342</v>
      </c>
      <c r="Z19" s="23"/>
      <c r="AB19" s="2">
        <f>NPV(0.04,G19:Z19)+F19</f>
        <v>1855454.7619174265</v>
      </c>
    </row>
    <row r="20" spans="2:28" ht="14.95" x14ac:dyDescent="0.25">
      <c r="B20" s="2" t="s">
        <v>22</v>
      </c>
      <c r="C20" s="31" t="s">
        <v>18</v>
      </c>
      <c r="D20" s="23"/>
      <c r="E20" s="23"/>
      <c r="F20" s="23">
        <f t="shared" si="3"/>
        <v>-164000</v>
      </c>
      <c r="G20" s="23">
        <f t="shared" si="3"/>
        <v>0</v>
      </c>
      <c r="H20" s="23">
        <f t="shared" si="3"/>
        <v>0</v>
      </c>
      <c r="I20" s="23">
        <f t="shared" si="3"/>
        <v>0</v>
      </c>
      <c r="J20" s="23">
        <f t="shared" si="3"/>
        <v>0</v>
      </c>
      <c r="K20" s="23">
        <f t="shared" si="3"/>
        <v>0</v>
      </c>
      <c r="L20" s="23">
        <f t="shared" si="3"/>
        <v>0</v>
      </c>
      <c r="M20" s="23">
        <f t="shared" si="3"/>
        <v>0</v>
      </c>
      <c r="N20" s="23">
        <f t="shared" si="3"/>
        <v>0</v>
      </c>
      <c r="O20" s="23">
        <f t="shared" ref="O20:Y20" si="4">O9</f>
        <v>0</v>
      </c>
      <c r="P20" s="23">
        <f t="shared" si="4"/>
        <v>0</v>
      </c>
      <c r="Q20" s="23">
        <f t="shared" si="4"/>
        <v>0</v>
      </c>
      <c r="R20" s="23">
        <f t="shared" si="4"/>
        <v>0</v>
      </c>
      <c r="S20" s="23">
        <f t="shared" si="4"/>
        <v>0</v>
      </c>
      <c r="T20" s="23">
        <f t="shared" si="4"/>
        <v>0</v>
      </c>
      <c r="U20" s="23">
        <f t="shared" si="4"/>
        <v>0</v>
      </c>
      <c r="V20" s="23">
        <f t="shared" si="4"/>
        <v>0</v>
      </c>
      <c r="W20" s="23">
        <f t="shared" si="4"/>
        <v>0</v>
      </c>
      <c r="X20" s="23">
        <f t="shared" si="4"/>
        <v>0</v>
      </c>
      <c r="Y20" s="26">
        <f t="shared" si="4"/>
        <v>0</v>
      </c>
      <c r="Z20" s="23"/>
      <c r="AB20" s="2">
        <f t="shared" ref="AB20:AB22" si="5">NPV(0.04,G20:Z20)+F20</f>
        <v>-164000</v>
      </c>
    </row>
    <row r="21" spans="2:28" ht="14.95" x14ac:dyDescent="0.25">
      <c r="B21" s="2" t="s">
        <v>22</v>
      </c>
      <c r="C21" s="31" t="s">
        <v>9</v>
      </c>
      <c r="D21" s="23"/>
      <c r="E21" s="23"/>
      <c r="F21" s="23">
        <f t="shared" si="3"/>
        <v>0</v>
      </c>
      <c r="G21" s="23">
        <f t="shared" si="3"/>
        <v>-9733.4</v>
      </c>
      <c r="H21" s="23">
        <f t="shared" si="3"/>
        <v>-9242.8366399999995</v>
      </c>
      <c r="I21" s="23">
        <f t="shared" si="3"/>
        <v>-8776.0733896800011</v>
      </c>
      <c r="J21" s="23">
        <f t="shared" si="3"/>
        <v>-8332.8816835011603</v>
      </c>
      <c r="K21" s="23">
        <f t="shared" si="3"/>
        <v>-7911.237870316003</v>
      </c>
      <c r="L21" s="23">
        <f t="shared" si="3"/>
        <v>-7510.1381102909818</v>
      </c>
      <c r="M21" s="23">
        <f t="shared" si="3"/>
        <v>-7129.3741080992295</v>
      </c>
      <c r="N21" s="23">
        <f>-N19*Assumptions!L10</f>
        <v>-6767.2019034077884</v>
      </c>
      <c r="O21" s="41">
        <f>-O19*Assumptions!M10</f>
        <v>-6084.3912313539422</v>
      </c>
      <c r="P21" s="41">
        <f>-P19*Assumptions!N10</f>
        <v>-4914.5557172865474</v>
      </c>
      <c r="Q21" s="41">
        <f>-Q19*Assumptions!O10</f>
        <v>-4659.3674116664433</v>
      </c>
      <c r="R21" s="41">
        <f>-R19*Assumptions!P10</f>
        <v>-4415.7989802215807</v>
      </c>
      <c r="S21" s="41">
        <f>-S19*Assumptions!Q10</f>
        <v>-4184.1903237089573</v>
      </c>
      <c r="T21" s="41">
        <f>-T19*Assumptions!R10</f>
        <v>-3963.9973079237739</v>
      </c>
      <c r="U21" s="41">
        <f>-U19*Assumptions!S10</f>
        <v>-3754.0045505365119</v>
      </c>
      <c r="V21" s="41">
        <f>-V19*Assumptions!T10</f>
        <v>-3554.4792086754965</v>
      </c>
      <c r="W21" s="41">
        <f>-W19*Assumptions!U10</f>
        <v>-3364.9366048728757</v>
      </c>
      <c r="X21" s="41">
        <f>-X19*Assumptions!V10</f>
        <v>-3184.3236326063238</v>
      </c>
      <c r="Y21" s="45">
        <f>-Y19*Assumptions!W10</f>
        <v>-3012.2905483547675</v>
      </c>
      <c r="Z21" s="23"/>
      <c r="AB21" s="2">
        <f t="shared" si="5"/>
        <v>-82522.738095871333</v>
      </c>
    </row>
    <row r="22" spans="2:28" ht="14.95" x14ac:dyDescent="0.25">
      <c r="B22" s="2" t="s">
        <v>22</v>
      </c>
      <c r="C22" s="31" t="s">
        <v>19</v>
      </c>
      <c r="D22" s="23"/>
      <c r="E22" s="23"/>
      <c r="F22" s="23">
        <f t="shared" si="3"/>
        <v>-40000</v>
      </c>
      <c r="G22" s="23">
        <f t="shared" si="3"/>
        <v>0</v>
      </c>
      <c r="H22" s="23">
        <f t="shared" si="3"/>
        <v>0</v>
      </c>
      <c r="I22" s="23">
        <f t="shared" si="3"/>
        <v>0</v>
      </c>
      <c r="J22" s="23">
        <f t="shared" si="3"/>
        <v>0</v>
      </c>
      <c r="K22" s="23">
        <f t="shared" si="3"/>
        <v>0</v>
      </c>
      <c r="L22" s="23">
        <f t="shared" si="3"/>
        <v>0</v>
      </c>
      <c r="M22" s="23">
        <f t="shared" si="3"/>
        <v>0</v>
      </c>
      <c r="N22" s="23">
        <f t="shared" si="3"/>
        <v>0</v>
      </c>
      <c r="O22" s="23">
        <f t="shared" si="3"/>
        <v>0</v>
      </c>
      <c r="P22" s="23">
        <f t="shared" si="3"/>
        <v>0</v>
      </c>
      <c r="Q22" s="23">
        <f t="shared" si="3"/>
        <v>0</v>
      </c>
      <c r="R22" s="23">
        <f t="shared" si="3"/>
        <v>0</v>
      </c>
      <c r="S22" s="23">
        <f t="shared" si="3"/>
        <v>0</v>
      </c>
      <c r="T22" s="23">
        <f t="shared" si="3"/>
        <v>0</v>
      </c>
      <c r="U22" s="23">
        <f t="shared" si="3"/>
        <v>0</v>
      </c>
      <c r="V22" s="23">
        <f t="shared" si="3"/>
        <v>0</v>
      </c>
      <c r="W22" s="23">
        <f t="shared" si="3"/>
        <v>0</v>
      </c>
      <c r="X22" s="23">
        <f t="shared" si="3"/>
        <v>0</v>
      </c>
      <c r="Y22" s="26">
        <f t="shared" si="3"/>
        <v>0</v>
      </c>
      <c r="Z22" s="23"/>
      <c r="AB22" s="2">
        <f t="shared" si="5"/>
        <v>-40000</v>
      </c>
    </row>
    <row r="23" spans="2:28" ht="14.95" x14ac:dyDescent="0.25">
      <c r="B23" s="2" t="s">
        <v>23</v>
      </c>
      <c r="C23" s="31" t="s">
        <v>66</v>
      </c>
      <c r="D23" s="23"/>
      <c r="E23" s="23"/>
      <c r="F23" s="23">
        <f t="shared" si="3"/>
        <v>-30000</v>
      </c>
      <c r="G23" s="23">
        <f t="shared" si="3"/>
        <v>-28488</v>
      </c>
      <c r="H23" s="23">
        <f t="shared" si="3"/>
        <v>-27052.204800000003</v>
      </c>
      <c r="I23" s="23">
        <f t="shared" si="3"/>
        <v>-25686.068457600006</v>
      </c>
      <c r="J23" s="23">
        <f t="shared" si="3"/>
        <v>-24388.922000491202</v>
      </c>
      <c r="K23" s="23">
        <f t="shared" si="3"/>
        <v>-23154.842547266348</v>
      </c>
      <c r="L23" s="23">
        <f t="shared" si="3"/>
        <v>-21980.892030119947</v>
      </c>
      <c r="M23" s="23">
        <f t="shared" si="3"/>
        <v>-20866.460804192862</v>
      </c>
      <c r="N23" s="23">
        <f>-N36*Assumptions!L13</f>
        <v>-19806.444595339864</v>
      </c>
      <c r="O23" s="41">
        <f>-O36*Assumptions!M13</f>
        <v>-17807.974335670075</v>
      </c>
      <c r="P23" s="41">
        <f>-P36*Assumptions!N13</f>
        <v>-4434.1856095818466</v>
      </c>
      <c r="Q23" s="41">
        <f>-Q36*Assumptions!O13</f>
        <v>-4203.9405218043094</v>
      </c>
      <c r="R23" s="41">
        <f>-R36*Assumptions!P13</f>
        <v>-3984.1795310269895</v>
      </c>
      <c r="S23" s="41">
        <f>-S36*Assumptions!Q13</f>
        <v>-3775.2093146246234</v>
      </c>
      <c r="T23" s="41">
        <f>-T36*Assumptions!R13</f>
        <v>-3576.5389244425023</v>
      </c>
      <c r="U23" s="41">
        <f>-U36*Assumptions!S13</f>
        <v>-3387.0717749201608</v>
      </c>
      <c r="V23" s="41">
        <f>-V36*Assumptions!T13</f>
        <v>-3207.0489100831542</v>
      </c>
      <c r="W23" s="41">
        <f>-W36*Assumptions!U13</f>
        <v>-3036.0330269529704</v>
      </c>
      <c r="X23" s="41">
        <f>-X36*Assumptions!V13</f>
        <v>-2873.0739542312695</v>
      </c>
      <c r="Y23" s="45">
        <f>-Y36*Assumptions!W13</f>
        <v>-2717.8561338539253</v>
      </c>
      <c r="Z23" s="23"/>
      <c r="AB23" s="2">
        <f>NPV(0.04,F23:Z23)</f>
        <v>-217055.55804588282</v>
      </c>
    </row>
    <row r="24" spans="2:28" ht="14.95" x14ac:dyDescent="0.25">
      <c r="B24" s="2" t="s">
        <v>22</v>
      </c>
      <c r="C24" s="31" t="s">
        <v>20</v>
      </c>
      <c r="D24" s="23"/>
      <c r="E24" s="23"/>
      <c r="F24" s="23">
        <f t="shared" si="3"/>
        <v>-60000</v>
      </c>
      <c r="G24" s="23">
        <f t="shared" si="3"/>
        <v>0</v>
      </c>
      <c r="H24" s="23">
        <f t="shared" si="3"/>
        <v>0</v>
      </c>
      <c r="I24" s="23">
        <f t="shared" si="3"/>
        <v>0</v>
      </c>
      <c r="J24" s="23">
        <f t="shared" si="3"/>
        <v>0</v>
      </c>
      <c r="K24" s="23">
        <f t="shared" si="3"/>
        <v>0</v>
      </c>
      <c r="L24" s="23">
        <f t="shared" si="3"/>
        <v>0</v>
      </c>
      <c r="M24" s="23">
        <f t="shared" si="3"/>
        <v>0</v>
      </c>
      <c r="N24" s="23">
        <f t="shared" si="3"/>
        <v>0</v>
      </c>
      <c r="O24" s="23">
        <f t="shared" si="3"/>
        <v>0</v>
      </c>
      <c r="P24" s="23">
        <f t="shared" si="3"/>
        <v>0</v>
      </c>
      <c r="Q24" s="23">
        <f t="shared" si="3"/>
        <v>0</v>
      </c>
      <c r="R24" s="23">
        <f t="shared" si="3"/>
        <v>0</v>
      </c>
      <c r="S24" s="23">
        <f t="shared" si="3"/>
        <v>0</v>
      </c>
      <c r="T24" s="23">
        <f t="shared" si="3"/>
        <v>0</v>
      </c>
      <c r="U24" s="23">
        <f t="shared" si="3"/>
        <v>0</v>
      </c>
      <c r="V24" s="23">
        <f t="shared" si="3"/>
        <v>0</v>
      </c>
      <c r="W24" s="23">
        <f t="shared" si="3"/>
        <v>0</v>
      </c>
      <c r="X24" s="23">
        <f t="shared" si="3"/>
        <v>0</v>
      </c>
      <c r="Y24" s="26">
        <f t="shared" si="3"/>
        <v>0</v>
      </c>
      <c r="Z24" s="23"/>
      <c r="AB24" s="2">
        <f>NPV(0.04,G24:Z24)+F24</f>
        <v>-60000</v>
      </c>
    </row>
    <row r="25" spans="2:28" ht="14.95" x14ac:dyDescent="0.25">
      <c r="B25" s="2" t="s">
        <v>23</v>
      </c>
      <c r="C25" s="31" t="s">
        <v>67</v>
      </c>
      <c r="D25" s="23"/>
      <c r="E25" s="23"/>
      <c r="F25" s="23">
        <f>F14</f>
        <v>-20000</v>
      </c>
      <c r="G25" s="23">
        <f t="shared" si="3"/>
        <v>-18992</v>
      </c>
      <c r="H25" s="23">
        <f t="shared" si="3"/>
        <v>-18034.803200000002</v>
      </c>
      <c r="I25" s="23">
        <f t="shared" si="3"/>
        <v>-17124.045638400003</v>
      </c>
      <c r="J25" s="23">
        <f t="shared" si="3"/>
        <v>-16259.281333660801</v>
      </c>
      <c r="K25" s="23">
        <f t="shared" si="3"/>
        <v>-15436.561698177566</v>
      </c>
      <c r="L25" s="23">
        <f t="shared" si="3"/>
        <v>-14653.928020079964</v>
      </c>
      <c r="M25" s="23">
        <f t="shared" si="3"/>
        <v>-13910.973869461908</v>
      </c>
      <c r="N25" s="23">
        <f>-N36*Assumptions!L14</f>
        <v>-13204.296396893244</v>
      </c>
      <c r="O25" s="41">
        <f>-O36*Assumptions!M14</f>
        <v>-11871.982890446716</v>
      </c>
      <c r="P25" s="41">
        <f>-P36*Assumptions!N14</f>
        <v>-2956.1237397212312</v>
      </c>
      <c r="Q25" s="41">
        <f>-Q36*Assumptions!O14</f>
        <v>-2802.6270145362064</v>
      </c>
      <c r="R25" s="41">
        <f>-R36*Assumptions!P14</f>
        <v>-2656.1196873513263</v>
      </c>
      <c r="S25" s="41">
        <f>-S36*Assumptions!Q14</f>
        <v>-2516.8062097497486</v>
      </c>
      <c r="T25" s="41">
        <f>-T36*Assumptions!R14</f>
        <v>-2384.3592829616682</v>
      </c>
      <c r="U25" s="41">
        <f>-U36*Assumptions!S14</f>
        <v>-2258.047849946774</v>
      </c>
      <c r="V25" s="41">
        <f>-V36*Assumptions!T14</f>
        <v>-2138.0326067221031</v>
      </c>
      <c r="W25" s="41">
        <f>-W36*Assumptions!U14</f>
        <v>-2024.0220179686469</v>
      </c>
      <c r="X25" s="41">
        <f>-X36*Assumptions!V14</f>
        <v>-1915.3826361541796</v>
      </c>
      <c r="Y25" s="45">
        <f>-Y36*Assumptions!W14</f>
        <v>-1811.9040892359501</v>
      </c>
      <c r="Z25" s="23"/>
      <c r="AB25" s="2">
        <f>NPV(0.04,F25:Z25)</f>
        <v>-144703.70536392182</v>
      </c>
    </row>
    <row r="26" spans="2:28" ht="14.95" x14ac:dyDescent="0.25">
      <c r="B26" s="2" t="s">
        <v>23</v>
      </c>
      <c r="C26" s="31" t="s">
        <v>1</v>
      </c>
      <c r="D26" s="23"/>
      <c r="E26" s="23"/>
      <c r="F26" s="23">
        <f t="shared" ref="F26:M26" si="6">F15</f>
        <v>-80000</v>
      </c>
      <c r="G26" s="23">
        <f t="shared" si="6"/>
        <v>-75968</v>
      </c>
      <c r="H26" s="23">
        <f t="shared" si="6"/>
        <v>-90174.016000000018</v>
      </c>
      <c r="I26" s="23">
        <f t="shared" si="6"/>
        <v>-85620.22819200001</v>
      </c>
      <c r="J26" s="23">
        <f t="shared" si="6"/>
        <v>-97555.688001964809</v>
      </c>
      <c r="K26" s="23">
        <f t="shared" si="6"/>
        <v>-108055.93188724296</v>
      </c>
      <c r="L26" s="23">
        <f t="shared" si="6"/>
        <v>-102577.49614055976</v>
      </c>
      <c r="M26" s="23">
        <f t="shared" si="6"/>
        <v>-111287.79095569528</v>
      </c>
      <c r="N26" s="23">
        <f>-N37*Assumptions!$D$6</f>
        <v>-118838.66757203921</v>
      </c>
      <c r="O26" s="41">
        <f>-O37*Assumptions!$D$6</f>
        <v>-118719.82890446715</v>
      </c>
      <c r="P26" s="41">
        <f>-P37*Assumptions!$D$6</f>
        <v>-56905.381989633708</v>
      </c>
      <c r="Q26" s="41">
        <f>-Q37*Assumptions!$D$6</f>
        <v>-63759.764580698698</v>
      </c>
      <c r="R26" s="41">
        <f>-R37*Assumptions!$D$6</f>
        <v>-65074.932340107502</v>
      </c>
      <c r="S26" s="41">
        <f>-S37*Assumptions!$D$6</f>
        <v>-66066.16300593091</v>
      </c>
      <c r="T26" s="41">
        <f>-T37*Assumptions!$D$6</f>
        <v>-70934.688668109637</v>
      </c>
      <c r="U26" s="41">
        <f>-U37*Assumptions!$D$6</f>
        <v>-71128.507273323383</v>
      </c>
      <c r="V26" s="41">
        <f>-V37*Assumptions!$D$6</f>
        <v>-71089.584173509909</v>
      </c>
      <c r="W26" s="41">
        <f>-W37*Assumptions!$D$6</f>
        <v>-74382.809160347781</v>
      </c>
      <c r="X26" s="41">
        <f>-X37*Assumptions!$D$6</f>
        <v>-77094.151105205732</v>
      </c>
      <c r="Y26" s="45">
        <f>-Y37*Assumptions!$D$6</f>
        <v>-72929.139591746993</v>
      </c>
      <c r="Z26" s="23"/>
      <c r="AB26" s="2">
        <f>NPV(0.04,F26:Z26)</f>
        <v>-1163534.4994199646</v>
      </c>
    </row>
    <row r="27" spans="2:28" ht="14.95" x14ac:dyDescent="0.25">
      <c r="C27" s="32" t="s">
        <v>21</v>
      </c>
      <c r="D27" s="28"/>
      <c r="E27" s="28"/>
      <c r="F27" s="28">
        <f t="shared" ref="F27:Y27" si="7">SUM(F19:F26)</f>
        <v>-189000</v>
      </c>
      <c r="G27" s="28">
        <f t="shared" si="7"/>
        <v>61486.600000000006</v>
      </c>
      <c r="H27" s="28">
        <f t="shared" si="7"/>
        <v>40352.872159999984</v>
      </c>
      <c r="I27" s="28">
        <f t="shared" si="7"/>
        <v>38315.052115920014</v>
      </c>
      <c r="J27" s="28">
        <f t="shared" si="7"/>
        <v>20120.860650405244</v>
      </c>
      <c r="K27" s="28">
        <f t="shared" si="7"/>
        <v>3666.1834033171763</v>
      </c>
      <c r="L27" s="28">
        <f t="shared" si="7"/>
        <v>3480.307904768968</v>
      </c>
      <c r="M27" s="28">
        <f t="shared" si="7"/>
        <v>-10607.117575464697</v>
      </c>
      <c r="N27" s="28">
        <f t="shared" si="7"/>
        <v>-23272.572399524346</v>
      </c>
      <c r="O27" s="46">
        <f t="shared" si="7"/>
        <v>-32796.352734859058</v>
      </c>
      <c r="P27" s="46">
        <f t="shared" si="7"/>
        <v>29080.867289507602</v>
      </c>
      <c r="Q27" s="46">
        <f t="shared" si="7"/>
        <v>17761.648704623207</v>
      </c>
      <c r="R27" s="46">
        <f t="shared" si="7"/>
        <v>12184.949065724206</v>
      </c>
      <c r="S27" s="46">
        <f t="shared" si="7"/>
        <v>7141.4376201649138</v>
      </c>
      <c r="T27" s="46">
        <f t="shared" si="7"/>
        <v>-1579.6380249620997</v>
      </c>
      <c r="U27" s="46">
        <f t="shared" si="7"/>
        <v>-5447.5404379965912</v>
      </c>
      <c r="V27" s="46">
        <f t="shared" si="7"/>
        <v>-8899.5607254807328</v>
      </c>
      <c r="W27" s="46">
        <f t="shared" si="7"/>
        <v>-15509.068712684762</v>
      </c>
      <c r="X27" s="46">
        <f t="shared" si="7"/>
        <v>-21380.45867607103</v>
      </c>
      <c r="Y27" s="47">
        <f t="shared" si="7"/>
        <v>-20225.379396096287</v>
      </c>
      <c r="Z27" s="23"/>
      <c r="AB27" s="3">
        <f>SUM(AB19:AB26)</f>
        <v>-16361.739008214092</v>
      </c>
    </row>
    <row r="29" spans="2:28" ht="14.95" x14ac:dyDescent="0.25">
      <c r="C29" s="3" t="s">
        <v>43</v>
      </c>
    </row>
    <row r="30" spans="2:28" ht="14.95"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ht="14.95"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ht="14.95" x14ac:dyDescent="0.25">
      <c r="B32" s="17"/>
      <c r="C32" s="52" t="s">
        <v>95</v>
      </c>
      <c r="D32" s="23"/>
      <c r="E32" s="23"/>
      <c r="F32" s="23"/>
      <c r="G32" s="23"/>
      <c r="H32" s="23"/>
      <c r="I32" s="23"/>
      <c r="J32" s="23"/>
      <c r="K32" s="23"/>
      <c r="L32" s="23"/>
      <c r="M32" s="23"/>
      <c r="N32" s="23"/>
      <c r="O32" s="23"/>
      <c r="P32" s="23"/>
      <c r="Q32" s="23"/>
      <c r="R32" s="23"/>
      <c r="S32" s="23"/>
      <c r="T32" s="23"/>
      <c r="U32" s="23"/>
      <c r="V32" s="23"/>
      <c r="W32" s="23"/>
      <c r="X32" s="23"/>
      <c r="Y32" s="23"/>
    </row>
    <row r="33" spans="2:26" ht="14.95" x14ac:dyDescent="0.25">
      <c r="B33" s="17" t="s">
        <v>23</v>
      </c>
      <c r="C33" s="33" t="s">
        <v>1</v>
      </c>
      <c r="D33" s="34"/>
      <c r="E33" s="34"/>
      <c r="F33" s="34">
        <f>F30</f>
        <v>-8000</v>
      </c>
      <c r="G33" s="34">
        <f t="shared" ref="G33:N33" si="8">G30</f>
        <v>-7596.8</v>
      </c>
      <c r="H33" s="34">
        <f t="shared" si="8"/>
        <v>-9017.4016000000029</v>
      </c>
      <c r="I33" s="34">
        <f t="shared" si="8"/>
        <v>-8562.0228192000013</v>
      </c>
      <c r="J33" s="34">
        <f t="shared" si="8"/>
        <v>-9755.5688001964809</v>
      </c>
      <c r="K33" s="34">
        <f t="shared" si="8"/>
        <v>-10805.593188724297</v>
      </c>
      <c r="L33" s="34">
        <f t="shared" si="8"/>
        <v>-10257.749614055976</v>
      </c>
      <c r="M33" s="34">
        <f t="shared" si="8"/>
        <v>-11128.779095569529</v>
      </c>
      <c r="N33" s="34">
        <f t="shared" si="8"/>
        <v>-11883.866757203921</v>
      </c>
      <c r="O33" s="53">
        <f>O26*Assumptions!M24</f>
        <v>-11871.982890446716</v>
      </c>
      <c r="P33" s="53">
        <f>P26*Assumptions!N24</f>
        <v>-5690.5381989633715</v>
      </c>
      <c r="Q33" s="53">
        <f>Q26*Assumptions!O24</f>
        <v>-6375.9764580698702</v>
      </c>
      <c r="R33" s="53">
        <f>R26*Assumptions!P24</f>
        <v>-6507.4932340107507</v>
      </c>
      <c r="S33" s="53">
        <f>S26*Assumptions!Q24</f>
        <v>-6606.6163005930912</v>
      </c>
      <c r="T33" s="53">
        <f>T26*Assumptions!R24</f>
        <v>-7093.4688668109638</v>
      </c>
      <c r="U33" s="53">
        <f>U26*Assumptions!S24</f>
        <v>-7112.8507273323385</v>
      </c>
      <c r="V33" s="53">
        <f>V26*Assumptions!T24</f>
        <v>-7108.9584173509911</v>
      </c>
      <c r="W33" s="53">
        <f>W26*Assumptions!U24</f>
        <v>-7438.2809160347788</v>
      </c>
      <c r="X33" s="53">
        <f>X26*Assumptions!V24</f>
        <v>-7709.4151105205738</v>
      </c>
      <c r="Y33" s="54">
        <f>Y26*Assumptions!W24</f>
        <v>-7292.9139591746998</v>
      </c>
      <c r="Z33" s="23"/>
    </row>
    <row r="34" spans="2:26" ht="14.95" x14ac:dyDescent="0.25">
      <c r="C34" s="6"/>
      <c r="N34" s="23"/>
    </row>
    <row r="35" spans="2:26" ht="14.95" x14ac:dyDescent="0.25">
      <c r="C35" s="3" t="s">
        <v>16</v>
      </c>
    </row>
    <row r="36" spans="2:26" x14ac:dyDescent="0.25">
      <c r="C36" s="19" t="s">
        <v>74</v>
      </c>
      <c r="D36" s="20"/>
      <c r="E36" s="20"/>
      <c r="F36" s="20">
        <f>Assumptions!D7</f>
        <v>1000</v>
      </c>
      <c r="G36" s="20">
        <f>F39</f>
        <v>949.6</v>
      </c>
      <c r="H36" s="20">
        <f t="shared" ref="H36:Y36" si="9">G39</f>
        <v>901.74016000000006</v>
      </c>
      <c r="I36" s="20">
        <f t="shared" si="9"/>
        <v>856.20228192000013</v>
      </c>
      <c r="J36" s="20">
        <f t="shared" si="9"/>
        <v>812.96406668304007</v>
      </c>
      <c r="K36" s="20">
        <f t="shared" si="9"/>
        <v>771.82808490887828</v>
      </c>
      <c r="L36" s="20">
        <f t="shared" si="9"/>
        <v>732.69640100399818</v>
      </c>
      <c r="M36" s="20">
        <f t="shared" si="9"/>
        <v>695.54869347309545</v>
      </c>
      <c r="N36" s="20">
        <f t="shared" si="9"/>
        <v>660.2148198446622</v>
      </c>
      <c r="O36" s="48">
        <f t="shared" si="9"/>
        <v>593.59914452233579</v>
      </c>
      <c r="P36" s="48">
        <f t="shared" si="9"/>
        <v>147.80618698606156</v>
      </c>
      <c r="Q36" s="48">
        <f t="shared" si="9"/>
        <v>140.13135072681033</v>
      </c>
      <c r="R36" s="48">
        <f t="shared" si="9"/>
        <v>132.80598436756631</v>
      </c>
      <c r="S36" s="48">
        <f t="shared" si="9"/>
        <v>125.84031048748744</v>
      </c>
      <c r="T36" s="48">
        <f t="shared" si="9"/>
        <v>119.21796414808341</v>
      </c>
      <c r="U36" s="48">
        <f t="shared" si="9"/>
        <v>112.9023924973387</v>
      </c>
      <c r="V36" s="48">
        <f t="shared" si="9"/>
        <v>106.90163033610514</v>
      </c>
      <c r="W36" s="48">
        <f t="shared" si="9"/>
        <v>101.20110089843234</v>
      </c>
      <c r="X36" s="48">
        <f t="shared" si="9"/>
        <v>95.769131807708987</v>
      </c>
      <c r="Y36" s="49">
        <f t="shared" si="9"/>
        <v>90.595204461797508</v>
      </c>
      <c r="Z36" s="23"/>
    </row>
    <row r="37" spans="2:26"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50">
        <f>O36*Assumptions!M22</f>
        <v>0.59359914452233575</v>
      </c>
      <c r="P37" s="50">
        <f>P36*Assumptions!N22</f>
        <v>0.28452690994816854</v>
      </c>
      <c r="Q37" s="50">
        <f>Q36*Assumptions!O22</f>
        <v>0.31879882290349348</v>
      </c>
      <c r="R37" s="50">
        <f>R36*Assumptions!P22</f>
        <v>0.32537466170053753</v>
      </c>
      <c r="S37" s="50">
        <f>S36*Assumptions!Q22</f>
        <v>0.33033081502965456</v>
      </c>
      <c r="T37" s="50">
        <f>T36*Assumptions!R22</f>
        <v>0.35467344334054818</v>
      </c>
      <c r="U37" s="50">
        <f>U36*Assumptions!S22</f>
        <v>0.35564253636661691</v>
      </c>
      <c r="V37" s="50">
        <f>V36*Assumptions!T22</f>
        <v>0.35544792086754956</v>
      </c>
      <c r="W37" s="50">
        <f>W36*Assumptions!U22</f>
        <v>0.37191404580173887</v>
      </c>
      <c r="X37" s="50">
        <f>X36*Assumptions!V22</f>
        <v>0.38547075552602866</v>
      </c>
      <c r="Y37" s="51">
        <f>Y36*Assumptions!W22</f>
        <v>0.36464569795873497</v>
      </c>
      <c r="Z37" s="24"/>
    </row>
    <row r="38" spans="2:26"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41">
        <f>N36*Assumptions!L33</f>
        <v>66.02148198446622</v>
      </c>
      <c r="O38" s="41">
        <f>O36*Assumptions!M21</f>
        <v>445.19935839175184</v>
      </c>
      <c r="P38" s="41">
        <f>P36*Assumptions!N21</f>
        <v>7.3903093493030783</v>
      </c>
      <c r="Q38" s="41">
        <f>Q36*Assumptions!O21</f>
        <v>7.0065675363405164</v>
      </c>
      <c r="R38" s="41">
        <f>R36*Assumptions!P21</f>
        <v>6.640299218378316</v>
      </c>
      <c r="S38" s="41">
        <f>S36*Assumptions!Q21</f>
        <v>6.2920155243743725</v>
      </c>
      <c r="T38" s="41">
        <f>T36*Assumptions!R21</f>
        <v>5.9608982074041705</v>
      </c>
      <c r="U38" s="41">
        <f>U36*Assumptions!S21</f>
        <v>5.6451196248669353</v>
      </c>
      <c r="V38" s="41">
        <f>V36*Assumptions!T21</f>
        <v>5.3450815168052577</v>
      </c>
      <c r="W38" s="41">
        <f>W36*Assumptions!U21</f>
        <v>5.0600550449216177</v>
      </c>
      <c r="X38" s="41">
        <f>X36*Assumptions!V21</f>
        <v>4.7884565903854499</v>
      </c>
      <c r="Y38" s="45">
        <f>Y36*Assumptions!W21</f>
        <v>90.595204461797508</v>
      </c>
      <c r="Z38" s="23"/>
    </row>
    <row r="39" spans="2:26" x14ac:dyDescent="0.25">
      <c r="C39" s="27" t="s">
        <v>75</v>
      </c>
      <c r="D39" s="28"/>
      <c r="E39" s="28"/>
      <c r="F39" s="28">
        <f>F36-F37-F38</f>
        <v>949.6</v>
      </c>
      <c r="G39" s="28">
        <f t="shared" ref="G39:Y39" si="10">G36-G37-G38</f>
        <v>901.74016000000006</v>
      </c>
      <c r="H39" s="28">
        <f t="shared" si="10"/>
        <v>856.20228192000013</v>
      </c>
      <c r="I39" s="28">
        <f t="shared" si="10"/>
        <v>812.96406668304007</v>
      </c>
      <c r="J39" s="28">
        <f t="shared" si="10"/>
        <v>771.82808490887828</v>
      </c>
      <c r="K39" s="28">
        <f t="shared" si="10"/>
        <v>732.69640100399818</v>
      </c>
      <c r="L39" s="28">
        <f t="shared" si="10"/>
        <v>695.54869347309545</v>
      </c>
      <c r="M39" s="28">
        <f t="shared" si="10"/>
        <v>660.2148198446622</v>
      </c>
      <c r="N39" s="46">
        <f t="shared" si="10"/>
        <v>593.59914452233579</v>
      </c>
      <c r="O39" s="46">
        <f t="shared" si="10"/>
        <v>147.80618698606156</v>
      </c>
      <c r="P39" s="46">
        <f t="shared" si="10"/>
        <v>140.13135072681033</v>
      </c>
      <c r="Q39" s="46">
        <f t="shared" si="10"/>
        <v>132.80598436756631</v>
      </c>
      <c r="R39" s="46">
        <f t="shared" si="10"/>
        <v>125.84031048748744</v>
      </c>
      <c r="S39" s="46">
        <f t="shared" si="10"/>
        <v>119.21796414808341</v>
      </c>
      <c r="T39" s="46">
        <f t="shared" si="10"/>
        <v>112.9023924973387</v>
      </c>
      <c r="U39" s="46">
        <f t="shared" si="10"/>
        <v>106.90163033610514</v>
      </c>
      <c r="V39" s="46">
        <f t="shared" si="10"/>
        <v>101.20110089843234</v>
      </c>
      <c r="W39" s="46">
        <f t="shared" si="10"/>
        <v>95.769131807708987</v>
      </c>
      <c r="X39" s="46">
        <f t="shared" si="10"/>
        <v>90.595204461797508</v>
      </c>
      <c r="Y39" s="47">
        <f t="shared" si="10"/>
        <v>-0.36464569795873558</v>
      </c>
      <c r="Z39" s="23"/>
    </row>
    <row r="40" spans="2:26" x14ac:dyDescent="0.25">
      <c r="C40" s="6"/>
    </row>
    <row r="41" spans="2:26" x14ac:dyDescent="0.25">
      <c r="C41" s="3" t="s">
        <v>24</v>
      </c>
    </row>
    <row r="42" spans="2:26" x14ac:dyDescent="0.25">
      <c r="C42" s="19" t="s">
        <v>33</v>
      </c>
      <c r="D42" s="20"/>
      <c r="E42" s="21">
        <f>F8+NPV(Assumptions!D18,'Lapse Shock'!G8:Y8)</f>
        <v>1885365.7834938848</v>
      </c>
    </row>
    <row r="43" spans="2:26" x14ac:dyDescent="0.25">
      <c r="C43" s="22" t="s">
        <v>34</v>
      </c>
      <c r="D43" s="23"/>
      <c r="E43" s="26">
        <f>F10+NPV(Assumptions!D18,'Lapse Shock'!G10:Y10)</f>
        <v>-84018.289174694233</v>
      </c>
    </row>
    <row r="44" spans="2:26" x14ac:dyDescent="0.25">
      <c r="C44" s="22" t="s">
        <v>68</v>
      </c>
      <c r="D44" s="23"/>
      <c r="E44" s="26">
        <f>NPV(Assumptions!D18,F12:Y12)</f>
        <v>-218815.81366774798</v>
      </c>
    </row>
    <row r="45" spans="2:26" x14ac:dyDescent="0.25">
      <c r="C45" s="22" t="s">
        <v>35</v>
      </c>
      <c r="D45" s="23"/>
      <c r="E45" s="26">
        <f>NPV(Assumptions!D18,F15:Y15)</f>
        <v>-1188819.6824108735</v>
      </c>
    </row>
    <row r="46" spans="2:26" x14ac:dyDescent="0.25">
      <c r="C46" s="22" t="s">
        <v>36</v>
      </c>
      <c r="D46" s="23"/>
      <c r="E46" s="26">
        <f>F9+F11</f>
        <v>-204000</v>
      </c>
    </row>
    <row r="47" spans="2:26" x14ac:dyDescent="0.25">
      <c r="C47" s="22" t="s">
        <v>37</v>
      </c>
      <c r="D47" s="23"/>
      <c r="E47" s="36">
        <f>NPV(Assumptions!D18,F30:Y30)</f>
        <v>-118881.96824108734</v>
      </c>
    </row>
    <row r="48" spans="2:26" x14ac:dyDescent="0.25">
      <c r="C48" s="22" t="s">
        <v>26</v>
      </c>
      <c r="D48" s="23"/>
      <c r="E48" s="26">
        <f>SUM(E42:E47)</f>
        <v>70830.029999481805</v>
      </c>
    </row>
    <row r="49" spans="3:25" x14ac:dyDescent="0.25">
      <c r="C49" s="22" t="s">
        <v>25</v>
      </c>
      <c r="D49" s="23"/>
      <c r="E49" s="26">
        <f>MAX(0,E48)</f>
        <v>70830.029999481805</v>
      </c>
    </row>
    <row r="50" spans="3:25" x14ac:dyDescent="0.25">
      <c r="C50" s="27" t="s">
        <v>24</v>
      </c>
      <c r="D50" s="28"/>
      <c r="E50" s="29">
        <f>-E48+E49</f>
        <v>0</v>
      </c>
    </row>
    <row r="51" spans="3:25" x14ac:dyDescent="0.25">
      <c r="C51" s="6"/>
    </row>
    <row r="52" spans="3:25" x14ac:dyDescent="0.25">
      <c r="C52" s="3" t="s">
        <v>73</v>
      </c>
    </row>
    <row r="53" spans="3:25" x14ac:dyDescent="0.25">
      <c r="C53" s="37" t="s">
        <v>74</v>
      </c>
      <c r="D53" s="20"/>
      <c r="E53" s="20"/>
      <c r="F53" s="20">
        <v>0</v>
      </c>
      <c r="G53" s="20">
        <f>F61</f>
        <v>-306260.47817019193</v>
      </c>
      <c r="H53" s="20">
        <f t="shared" ref="H53:X53" si="11">G61</f>
        <v>-230634.91329699958</v>
      </c>
      <c r="I53" s="20">
        <f t="shared" si="11"/>
        <v>-174448.07862247957</v>
      </c>
      <c r="J53" s="20">
        <f t="shared" si="11"/>
        <v>-119317.08823690194</v>
      </c>
      <c r="K53" s="20">
        <f t="shared" si="11"/>
        <v>-81376.639702851098</v>
      </c>
      <c r="L53" s="20">
        <f t="shared" si="11"/>
        <v>-59516.419408030233</v>
      </c>
      <c r="M53" s="20">
        <f t="shared" si="11"/>
        <v>-38055.13529568135</v>
      </c>
      <c r="N53" s="20">
        <f t="shared" si="11"/>
        <v>-30855.160091355985</v>
      </c>
      <c r="O53" s="48">
        <f>N61</f>
        <v>-35064.586485934116</v>
      </c>
      <c r="P53" s="48">
        <f t="shared" si="11"/>
        <v>-52767.402453954834</v>
      </c>
      <c r="Q53" s="48">
        <f t="shared" si="11"/>
        <v>-19106.045177746411</v>
      </c>
      <c r="R53" s="48">
        <f t="shared" si="11"/>
        <v>4235.1079671696352</v>
      </c>
      <c r="S53" s="48">
        <f t="shared" si="11"/>
        <v>22601.588263900347</v>
      </c>
      <c r="T53" s="48">
        <f t="shared" si="11"/>
        <v>36343.880270389818</v>
      </c>
      <c r="U53" s="48">
        <f t="shared" si="11"/>
        <v>41614.99469322704</v>
      </c>
      <c r="V53" s="48">
        <f t="shared" si="11"/>
        <v>42943.145351314051</v>
      </c>
      <c r="W53" s="48">
        <f t="shared" si="11"/>
        <v>40600.747245201361</v>
      </c>
      <c r="X53" s="48">
        <f t="shared" si="11"/>
        <v>31297.082259996681</v>
      </c>
      <c r="Y53" s="49">
        <f>X61</f>
        <v>15503.975471260515</v>
      </c>
    </row>
    <row r="54" spans="3:2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x14ac:dyDescent="0.25">
      <c r="C55" s="22" t="s">
        <v>77</v>
      </c>
      <c r="D55" s="23"/>
      <c r="E55" s="23"/>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x14ac:dyDescent="0.25">
      <c r="C56" s="22" t="s">
        <v>78</v>
      </c>
      <c r="D56" s="23"/>
      <c r="E56" s="23"/>
      <c r="F56" s="23">
        <f>F8</f>
        <v>205000</v>
      </c>
      <c r="G56" s="23">
        <f>G8</f>
        <v>194668</v>
      </c>
      <c r="H56" s="23">
        <f t="shared" ref="H56:N56" si="12">H8</f>
        <v>184856.7328</v>
      </c>
      <c r="I56" s="23">
        <f t="shared" si="12"/>
        <v>175521.46779360002</v>
      </c>
      <c r="J56" s="23">
        <f t="shared" si="12"/>
        <v>166657.63367002321</v>
      </c>
      <c r="K56" s="23">
        <f t="shared" si="12"/>
        <v>158224.75740632004</v>
      </c>
      <c r="L56" s="23">
        <f t="shared" si="12"/>
        <v>150202.76220581963</v>
      </c>
      <c r="M56" s="23">
        <f t="shared" si="12"/>
        <v>142587.48216198458</v>
      </c>
      <c r="N56" s="23">
        <f t="shared" si="12"/>
        <v>135344.03806815576</v>
      </c>
      <c r="O56" s="41">
        <f>O19</f>
        <v>121687.82462707884</v>
      </c>
      <c r="P56" s="41">
        <f t="shared" ref="P56:Y56" si="13">P19</f>
        <v>98291.114345730937</v>
      </c>
      <c r="Q56" s="41">
        <f t="shared" si="13"/>
        <v>93187.34823332887</v>
      </c>
      <c r="R56" s="41">
        <f t="shared" si="13"/>
        <v>88315.979604431603</v>
      </c>
      <c r="S56" s="41">
        <f t="shared" si="13"/>
        <v>83683.806474179146</v>
      </c>
      <c r="T56" s="41">
        <f t="shared" si="13"/>
        <v>79279.946158475475</v>
      </c>
      <c r="U56" s="41">
        <f t="shared" si="13"/>
        <v>75080.091010730233</v>
      </c>
      <c r="V56" s="41">
        <f t="shared" si="13"/>
        <v>71089.584173509924</v>
      </c>
      <c r="W56" s="41">
        <f t="shared" si="13"/>
        <v>67298.732097457512</v>
      </c>
      <c r="X56" s="41">
        <f t="shared" si="13"/>
        <v>63686.472652126475</v>
      </c>
      <c r="Y56" s="45">
        <f t="shared" si="13"/>
        <v>60245.810967095342</v>
      </c>
    </row>
    <row r="57" spans="3:25" x14ac:dyDescent="0.25">
      <c r="C57" s="22" t="s">
        <v>79</v>
      </c>
      <c r="D57" s="23"/>
      <c r="E57" s="23"/>
      <c r="F57" s="23">
        <f>SUM(F9:F12,F15)</f>
        <v>-314000</v>
      </c>
      <c r="G57" s="23">
        <f>SUM(G9:G12,G15)</f>
        <v>-114189.4</v>
      </c>
      <c r="H57" s="23">
        <f t="shared" ref="H57:N57" si="14">SUM(H9:H12,H15)</f>
        <v>-126469.05744000002</v>
      </c>
      <c r="I57" s="23">
        <f t="shared" si="14"/>
        <v>-120082.37003928001</v>
      </c>
      <c r="J57" s="23">
        <f t="shared" si="14"/>
        <v>-130277.49168595717</v>
      </c>
      <c r="K57" s="23">
        <f t="shared" si="14"/>
        <v>-139122.0123048253</v>
      </c>
      <c r="L57" s="23">
        <f t="shared" si="14"/>
        <v>-132068.52628097069</v>
      </c>
      <c r="M57" s="23">
        <f t="shared" si="14"/>
        <v>-139283.62586798737</v>
      </c>
      <c r="N57" s="23">
        <f t="shared" si="14"/>
        <v>-145412.31407078687</v>
      </c>
      <c r="O57" s="41">
        <f>SUM(O20:O23,O26)</f>
        <v>-142612.19447149118</v>
      </c>
      <c r="P57" s="41">
        <f t="shared" ref="P57:Y57" si="15">SUM(P20:P23,P26)</f>
        <v>-66254.123316502097</v>
      </c>
      <c r="Q57" s="41">
        <f t="shared" si="15"/>
        <v>-72623.072514169457</v>
      </c>
      <c r="R57" s="41">
        <f t="shared" si="15"/>
        <v>-73474.910851356079</v>
      </c>
      <c r="S57" s="41">
        <f t="shared" si="15"/>
        <v>-74025.562644264486</v>
      </c>
      <c r="T57" s="41">
        <f t="shared" si="15"/>
        <v>-78475.224900475907</v>
      </c>
      <c r="U57" s="41">
        <f t="shared" si="15"/>
        <v>-78269.583598780053</v>
      </c>
      <c r="V57" s="41">
        <f t="shared" si="15"/>
        <v>-77851.112292268561</v>
      </c>
      <c r="W57" s="41">
        <f t="shared" si="15"/>
        <v>-80783.778792173631</v>
      </c>
      <c r="X57" s="41">
        <f t="shared" si="15"/>
        <v>-83151.548692043318</v>
      </c>
      <c r="Y57" s="45">
        <f t="shared" si="15"/>
        <v>-78659.286273955688</v>
      </c>
    </row>
    <row r="58" spans="3:2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23">
        <f>(K53+K54)*Assumptions!I18+SUM(K8:K11)*Assumptions!I18</f>
        <v>2757.4751933261182</v>
      </c>
      <c r="L58" s="23">
        <f>(L53+L54)*Assumptions!J18+SUM(L8:L11)*Assumptions!J18</f>
        <v>3327.0481874999364</v>
      </c>
      <c r="M58" s="23">
        <f>(M53+M54)*Assumptions!K18+SUM(M8:M11)*Assumptions!K18</f>
        <v>3896.1189103281599</v>
      </c>
      <c r="N58" s="23">
        <f>(N53+N54)*Assumptions!L18+SUM(N8:N11)*Assumptions!L18</f>
        <v>3908.8670429356798</v>
      </c>
      <c r="O58" s="41">
        <f>(O53+O54)*Assumptions!M18+SUM(O19:O22)*Assumptions!M18</f>
        <v>3221.5538763916311</v>
      </c>
      <c r="P58" s="41">
        <f>(P53+P54)*Assumptions!N18+SUM(P19:P22)*Assumptions!N18</f>
        <v>1624.3662469795822</v>
      </c>
      <c r="Q58" s="41">
        <f>(Q53+Q54)*Assumptions!O18+SUM(Q19:Q22)*Assumptions!O18</f>
        <v>2776.8774257566406</v>
      </c>
      <c r="R58" s="41">
        <f>(R53+R54)*Assumptions!P18+SUM(R19:R22)*Assumptions!P18</f>
        <v>3525.4115436551865</v>
      </c>
      <c r="S58" s="41">
        <f>(S53+S54)*Assumptions!Q18+SUM(S19:S22)*Assumptions!Q18</f>
        <v>4084.0481765748218</v>
      </c>
      <c r="T58" s="41">
        <f>(T53+T54)*Assumptions!R18+SUM(T19:T22)*Assumptions!R18</f>
        <v>4466.3931648376611</v>
      </c>
      <c r="U58" s="41">
        <f>(U53+U54)*Assumptions!S18+SUM(U19:U22)*Assumptions!S18</f>
        <v>4517.6432461368304</v>
      </c>
      <c r="V58" s="41">
        <f>(V53+V54)*Assumptions!T18+SUM(V19:V22)*Assumptions!T18</f>
        <v>4419.1300126459391</v>
      </c>
      <c r="W58" s="41">
        <f>(W53+W54)*Assumptions!U18+SUM(W19:W22)*Assumptions!U18</f>
        <v>4181.38170951144</v>
      </c>
      <c r="X58" s="41">
        <f>(X53+X54)*Assumptions!V18+SUM(X19:X22)*Assumptions!V18</f>
        <v>3671.9692511806734</v>
      </c>
      <c r="Y58" s="45">
        <f>(Y53+Y54)*Assumptions!W18+SUM(Y19:Y22)*Assumptions!W18</f>
        <v>2909.4998356000438</v>
      </c>
    </row>
    <row r="59" spans="3:25" x14ac:dyDescent="0.25">
      <c r="C59" s="38" t="s">
        <v>81</v>
      </c>
      <c r="D59" s="23"/>
      <c r="E59" s="23"/>
      <c r="F59" s="23">
        <v>0</v>
      </c>
      <c r="G59" s="23">
        <v>0</v>
      </c>
      <c r="H59" s="23">
        <v>0</v>
      </c>
      <c r="I59" s="23">
        <v>0</v>
      </c>
      <c r="J59" s="23">
        <v>0</v>
      </c>
      <c r="K59" s="23">
        <v>0</v>
      </c>
      <c r="L59" s="23">
        <v>0</v>
      </c>
      <c r="M59" s="23">
        <v>0</v>
      </c>
      <c r="N59" s="41">
        <f>(NPV(Assumptions!L18,P19:Z19)+O19+NPV(Assumptions!L18,P21:Z21)+O21+NPV(Assumptions!L18,O23:Z23)+NPV(Assumptions!L18,O26:Z26))*-1-(NPV(Assumptions!L18,P8:Z8)+O8+NPV(Assumptions!L18,P10:Z10)+O10+NPV(Assumptions!L18,O12:Z12)+NPV(Assumptions!L18,O15:Z15))*-1</f>
        <v>1949.9825651173014</v>
      </c>
      <c r="O59" s="23">
        <v>0</v>
      </c>
      <c r="P59" s="23">
        <v>0</v>
      </c>
      <c r="Q59" s="23">
        <v>0</v>
      </c>
      <c r="R59" s="23">
        <v>0</v>
      </c>
      <c r="S59" s="23">
        <v>0</v>
      </c>
      <c r="T59" s="23">
        <v>0</v>
      </c>
      <c r="U59" s="23">
        <v>0</v>
      </c>
      <c r="V59" s="23">
        <v>0</v>
      </c>
      <c r="W59" s="23">
        <v>0</v>
      </c>
      <c r="X59" s="23">
        <v>0</v>
      </c>
      <c r="Y59" s="26">
        <v>0</v>
      </c>
    </row>
    <row r="60" spans="3:2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x14ac:dyDescent="0.25">
      <c r="C61" s="39" t="s">
        <v>75</v>
      </c>
      <c r="D61" s="28"/>
      <c r="E61" s="28"/>
      <c r="F61" s="28">
        <f>SUM(F53:F60)</f>
        <v>-306260.47817019193</v>
      </c>
      <c r="G61" s="28">
        <f>SUM(G53:G60)</f>
        <v>-230634.91329699958</v>
      </c>
      <c r="H61" s="28">
        <f t="shared" ref="H61:Y61" si="16">SUM(H53:H60)</f>
        <v>-174448.07862247957</v>
      </c>
      <c r="I61" s="28">
        <f t="shared" si="16"/>
        <v>-119317.08823690194</v>
      </c>
      <c r="J61" s="28">
        <f t="shared" si="16"/>
        <v>-81376.639702851098</v>
      </c>
      <c r="K61" s="28">
        <f t="shared" si="16"/>
        <v>-59516.419408030233</v>
      </c>
      <c r="L61" s="28">
        <f t="shared" si="16"/>
        <v>-38055.13529568135</v>
      </c>
      <c r="M61" s="28">
        <f t="shared" si="16"/>
        <v>-30855.160091355985</v>
      </c>
      <c r="N61" s="46">
        <f>SUM(N53:N60)</f>
        <v>-35064.586485934116</v>
      </c>
      <c r="O61" s="46">
        <f t="shared" si="16"/>
        <v>-52767.402453954834</v>
      </c>
      <c r="P61" s="46">
        <f t="shared" si="16"/>
        <v>-19106.045177746411</v>
      </c>
      <c r="Q61" s="46">
        <f t="shared" si="16"/>
        <v>4235.1079671696352</v>
      </c>
      <c r="R61" s="46">
        <f t="shared" si="16"/>
        <v>22601.588263900347</v>
      </c>
      <c r="S61" s="46">
        <f t="shared" si="16"/>
        <v>36343.880270389818</v>
      </c>
      <c r="T61" s="46">
        <f t="shared" si="16"/>
        <v>41614.99469322704</v>
      </c>
      <c r="U61" s="46">
        <f t="shared" si="16"/>
        <v>42943.145351314051</v>
      </c>
      <c r="V61" s="46">
        <f t="shared" si="16"/>
        <v>40600.747245201361</v>
      </c>
      <c r="W61" s="46">
        <f t="shared" si="16"/>
        <v>31297.082259996681</v>
      </c>
      <c r="X61" s="46">
        <f t="shared" si="16"/>
        <v>15503.975471260515</v>
      </c>
      <c r="Y61" s="47">
        <f t="shared" si="16"/>
        <v>2.1873347577638924E-10</v>
      </c>
    </row>
    <row r="62" spans="3:25" x14ac:dyDescent="0.25">
      <c r="C62" s="6"/>
    </row>
    <row r="63" spans="3:25" x14ac:dyDescent="0.25">
      <c r="C63" s="3" t="s">
        <v>83</v>
      </c>
    </row>
    <row r="64" spans="3:25" x14ac:dyDescent="0.25">
      <c r="C64" s="37" t="s">
        <v>74</v>
      </c>
      <c r="D64" s="20"/>
      <c r="E64" s="20"/>
      <c r="F64" s="20">
        <v>0</v>
      </c>
      <c r="G64" s="20">
        <f>F72</f>
        <v>115637.24697073083</v>
      </c>
      <c r="H64" s="20">
        <f t="shared" ref="H64:Y64" si="17">G72</f>
        <v>112665.93684956006</v>
      </c>
      <c r="I64" s="20">
        <f t="shared" si="17"/>
        <v>108155.17272354248</v>
      </c>
      <c r="J64" s="20">
        <f t="shared" si="17"/>
        <v>103919.35681328418</v>
      </c>
      <c r="K64" s="20">
        <f t="shared" si="17"/>
        <v>98320.56228561906</v>
      </c>
      <c r="L64" s="20">
        <f t="shared" si="17"/>
        <v>91447.791588319538</v>
      </c>
      <c r="M64" s="20">
        <f t="shared" si="17"/>
        <v>84847.953637796338</v>
      </c>
      <c r="N64" s="20">
        <f t="shared" si="17"/>
        <v>77113.092687738666</v>
      </c>
      <c r="O64" s="48">
        <f t="shared" si="17"/>
        <v>64714.879675024356</v>
      </c>
      <c r="P64" s="48">
        <f t="shared" si="17"/>
        <v>55431.491971578624</v>
      </c>
      <c r="Q64" s="48">
        <f t="shared" si="17"/>
        <v>51958.213451478397</v>
      </c>
      <c r="R64" s="48">
        <f t="shared" si="17"/>
        <v>47660.565531467662</v>
      </c>
      <c r="S64" s="48">
        <f t="shared" si="17"/>
        <v>43059.494918715623</v>
      </c>
      <c r="T64" s="48">
        <f t="shared" si="17"/>
        <v>38175.258414871154</v>
      </c>
      <c r="U64" s="48">
        <f t="shared" si="17"/>
        <v>32608.799884655036</v>
      </c>
      <c r="V64" s="48">
        <f t="shared" si="17"/>
        <v>26800.3011527089</v>
      </c>
      <c r="W64" s="48">
        <f t="shared" si="17"/>
        <v>20763.354781466267</v>
      </c>
      <c r="X64" s="48">
        <f t="shared" si="17"/>
        <v>14155.60805669014</v>
      </c>
      <c r="Y64" s="49">
        <f t="shared" si="17"/>
        <v>7012.4172684371724</v>
      </c>
    </row>
    <row r="65" spans="3:2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41">
        <f>(O64+O65)*Assumptions!M18</f>
        <v>2588.5951870009744</v>
      </c>
      <c r="P69" s="41">
        <f>(P64+P65)*Assumptions!N18</f>
        <v>2217.2596788631449</v>
      </c>
      <c r="Q69" s="41">
        <f>(Q64+Q65)*Assumptions!O18</f>
        <v>2078.328538059136</v>
      </c>
      <c r="R69" s="41">
        <f>(R64+R65)*Assumptions!P18</f>
        <v>1906.4226212587066</v>
      </c>
      <c r="S69" s="41">
        <f>(S64+S65)*Assumptions!Q18</f>
        <v>1722.379796748625</v>
      </c>
      <c r="T69" s="41">
        <f>(T64+T65)*Assumptions!R18</f>
        <v>1527.0103365948462</v>
      </c>
      <c r="U69" s="41">
        <f>(U64+U65)*Assumptions!S18</f>
        <v>1304.3519953862015</v>
      </c>
      <c r="V69" s="41">
        <f>(V64+V65)*Assumptions!T18</f>
        <v>1072.0120461083561</v>
      </c>
      <c r="W69" s="41">
        <f>(W64+W65)*Assumptions!U18</f>
        <v>830.53419125865071</v>
      </c>
      <c r="X69" s="41">
        <f>(X64+X65)*Assumptions!V18</f>
        <v>566.22432226760566</v>
      </c>
      <c r="Y69" s="45">
        <f>(Y64+Y65)*Assumptions!W18</f>
        <v>280.49669073748692</v>
      </c>
    </row>
    <row r="70" spans="3:25" x14ac:dyDescent="0.25">
      <c r="C70" s="38" t="s">
        <v>81</v>
      </c>
      <c r="D70" s="23"/>
      <c r="E70" s="23"/>
      <c r="F70" s="23">
        <v>0</v>
      </c>
      <c r="G70" s="23">
        <v>0</v>
      </c>
      <c r="H70" s="23">
        <v>0</v>
      </c>
      <c r="I70" s="23">
        <v>0</v>
      </c>
      <c r="J70" s="23">
        <v>0</v>
      </c>
      <c r="K70" s="23">
        <v>0</v>
      </c>
      <c r="L70" s="23">
        <v>0</v>
      </c>
      <c r="M70" s="23">
        <v>0</v>
      </c>
      <c r="N70" s="41">
        <f>NPV(Assumptions!L18,O33:Y33)*-1-NPV(Assumptions!L18,O30:Y30)*-1</f>
        <v>-3598.869963019948</v>
      </c>
      <c r="O70" s="23">
        <v>0</v>
      </c>
      <c r="P70" s="23">
        <v>0</v>
      </c>
      <c r="Q70" s="23">
        <v>0</v>
      </c>
      <c r="R70" s="23">
        <v>0</v>
      </c>
      <c r="S70" s="23">
        <v>0</v>
      </c>
      <c r="T70" s="23">
        <v>0</v>
      </c>
      <c r="U70" s="23">
        <v>0</v>
      </c>
      <c r="V70" s="23">
        <v>0</v>
      </c>
      <c r="W70" s="23">
        <v>0</v>
      </c>
      <c r="X70" s="23">
        <v>0</v>
      </c>
      <c r="Y70" s="26">
        <v>0</v>
      </c>
    </row>
    <row r="71" spans="3:25" x14ac:dyDescent="0.25">
      <c r="C71" s="38" t="s">
        <v>82</v>
      </c>
      <c r="D71" s="23"/>
      <c r="E71" s="23"/>
      <c r="F71" s="23">
        <f>F30</f>
        <v>-8000</v>
      </c>
      <c r="G71" s="23">
        <f>G30</f>
        <v>-7596.8</v>
      </c>
      <c r="H71" s="23">
        <f t="shared" ref="H71:M71" si="18">H30</f>
        <v>-9017.4016000000029</v>
      </c>
      <c r="I71" s="23">
        <f t="shared" si="18"/>
        <v>-8562.0228192000013</v>
      </c>
      <c r="J71" s="23">
        <f t="shared" si="18"/>
        <v>-9755.5688001964809</v>
      </c>
      <c r="K71" s="23">
        <f t="shared" si="18"/>
        <v>-10805.593188724297</v>
      </c>
      <c r="L71" s="23">
        <f t="shared" si="18"/>
        <v>-10257.749614055976</v>
      </c>
      <c r="M71" s="23">
        <f t="shared" si="18"/>
        <v>-11128.779095569529</v>
      </c>
      <c r="N71" s="23">
        <f>N30</f>
        <v>-11883.866757203921</v>
      </c>
      <c r="O71" s="41">
        <f>O33</f>
        <v>-11871.982890446716</v>
      </c>
      <c r="P71" s="41">
        <f t="shared" ref="P71:Y71" si="19">P33</f>
        <v>-5690.5381989633715</v>
      </c>
      <c r="Q71" s="41">
        <f t="shared" si="19"/>
        <v>-6375.9764580698702</v>
      </c>
      <c r="R71" s="41">
        <f t="shared" si="19"/>
        <v>-6507.4932340107507</v>
      </c>
      <c r="S71" s="41">
        <f t="shared" si="19"/>
        <v>-6606.6163005930912</v>
      </c>
      <c r="T71" s="41">
        <f t="shared" si="19"/>
        <v>-7093.4688668109638</v>
      </c>
      <c r="U71" s="41">
        <f t="shared" si="19"/>
        <v>-7112.8507273323385</v>
      </c>
      <c r="V71" s="41">
        <f t="shared" si="19"/>
        <v>-7108.9584173509911</v>
      </c>
      <c r="W71" s="41">
        <f t="shared" si="19"/>
        <v>-7438.2809160347788</v>
      </c>
      <c r="X71" s="41">
        <f t="shared" si="19"/>
        <v>-7709.4151105205738</v>
      </c>
      <c r="Y71" s="45">
        <f t="shared" si="19"/>
        <v>-7292.9139591746998</v>
      </c>
    </row>
    <row r="72" spans="3:25" x14ac:dyDescent="0.25">
      <c r="C72" s="39" t="s">
        <v>75</v>
      </c>
      <c r="D72" s="28"/>
      <c r="E72" s="28"/>
      <c r="F72" s="28">
        <f>SUM(F64:F71)</f>
        <v>115637.24697073083</v>
      </c>
      <c r="G72" s="28">
        <f>SUM(G64:G71)</f>
        <v>112665.93684956006</v>
      </c>
      <c r="H72" s="28">
        <f t="shared" ref="H72:Y72" si="20">SUM(H64:H71)</f>
        <v>108155.17272354248</v>
      </c>
      <c r="I72" s="28">
        <f t="shared" si="20"/>
        <v>103919.35681328418</v>
      </c>
      <c r="J72" s="28">
        <f t="shared" si="20"/>
        <v>98320.56228561906</v>
      </c>
      <c r="K72" s="28">
        <f t="shared" si="20"/>
        <v>91447.791588319538</v>
      </c>
      <c r="L72" s="28">
        <f t="shared" si="20"/>
        <v>84847.953637796338</v>
      </c>
      <c r="M72" s="28">
        <f t="shared" si="20"/>
        <v>77113.092687738666</v>
      </c>
      <c r="N72" s="46">
        <f t="shared" si="20"/>
        <v>64714.879675024356</v>
      </c>
      <c r="O72" s="46">
        <f t="shared" si="20"/>
        <v>55431.491971578624</v>
      </c>
      <c r="P72" s="46">
        <f t="shared" si="20"/>
        <v>51958.213451478397</v>
      </c>
      <c r="Q72" s="46">
        <f t="shared" si="20"/>
        <v>47660.565531467662</v>
      </c>
      <c r="R72" s="46">
        <f t="shared" si="20"/>
        <v>43059.494918715623</v>
      </c>
      <c r="S72" s="46">
        <f t="shared" si="20"/>
        <v>38175.258414871154</v>
      </c>
      <c r="T72" s="46">
        <f t="shared" si="20"/>
        <v>32608.799884655036</v>
      </c>
      <c r="U72" s="46">
        <f t="shared" si="20"/>
        <v>26800.3011527089</v>
      </c>
      <c r="V72" s="46">
        <f t="shared" si="20"/>
        <v>20763.354781466267</v>
      </c>
      <c r="W72" s="46">
        <f t="shared" si="20"/>
        <v>14155.60805669014</v>
      </c>
      <c r="X72" s="46">
        <f t="shared" si="20"/>
        <v>7012.4172684371724</v>
      </c>
      <c r="Y72" s="47">
        <f t="shared" si="20"/>
        <v>-4.0927261579781771E-11</v>
      </c>
    </row>
    <row r="73" spans="3:25" x14ac:dyDescent="0.25">
      <c r="C73" s="6"/>
    </row>
    <row r="74" spans="3:25" x14ac:dyDescent="0.25">
      <c r="C74" s="3" t="s">
        <v>84</v>
      </c>
    </row>
    <row r="75" spans="3:25" x14ac:dyDescent="0.25">
      <c r="C75" s="37" t="s">
        <v>74</v>
      </c>
      <c r="D75" s="20"/>
      <c r="E75" s="20"/>
      <c r="F75" s="20">
        <v>0</v>
      </c>
      <c r="G75" s="20">
        <f>F83</f>
        <v>65696.035804775805</v>
      </c>
      <c r="H75" s="20">
        <f t="shared" ref="H75:Y75" si="21">G83</f>
        <v>60455.602540301981</v>
      </c>
      <c r="I75" s="20">
        <f t="shared" si="21"/>
        <v>55103.244443882992</v>
      </c>
      <c r="J75" s="20">
        <f t="shared" si="21"/>
        <v>49634.079712726583</v>
      </c>
      <c r="K75" s="20">
        <f t="shared" si="21"/>
        <v>44042.218039575499</v>
      </c>
      <c r="L75" s="20">
        <f t="shared" si="21"/>
        <v>38322.336786151965</v>
      </c>
      <c r="M75" s="20">
        <f t="shared" si="21"/>
        <v>32468.88570523337</v>
      </c>
      <c r="N75" s="20">
        <f t="shared" si="21"/>
        <v>26475.309974540531</v>
      </c>
      <c r="O75" s="48">
        <f t="shared" si="21"/>
        <v>21244.476805790368</v>
      </c>
      <c r="P75" s="48">
        <f t="shared" si="21"/>
        <v>14671.032476243989</v>
      </c>
      <c r="Q75" s="48">
        <f t="shared" si="21"/>
        <v>13335.555843169321</v>
      </c>
      <c r="R75" s="48">
        <f t="shared" si="21"/>
        <v>11973.576440457273</v>
      </c>
      <c r="S75" s="48">
        <f t="shared" si="21"/>
        <v>10584.347201545821</v>
      </c>
      <c r="T75" s="48">
        <f t="shared" si="21"/>
        <v>9166.7269636478268</v>
      </c>
      <c r="U75" s="48">
        <f t="shared" si="21"/>
        <v>7719.5197597093011</v>
      </c>
      <c r="V75" s="48">
        <f t="shared" si="21"/>
        <v>6241.8029162210551</v>
      </c>
      <c r="W75" s="48">
        <f t="shared" si="21"/>
        <v>4732.2679368483778</v>
      </c>
      <c r="X75" s="48">
        <f t="shared" si="21"/>
        <v>3189.5453815910942</v>
      </c>
      <c r="Y75" s="49">
        <f t="shared" si="21"/>
        <v>1612.5178381246733</v>
      </c>
    </row>
    <row r="76" spans="3:2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x14ac:dyDescent="0.25">
      <c r="C77" s="22" t="s">
        <v>77</v>
      </c>
      <c r="D77" s="23"/>
      <c r="E77" s="23"/>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23">
        <f>(K75+K76)*Assumptions!I20</f>
        <v>1761.68872158302</v>
      </c>
      <c r="L80" s="23">
        <f>(L75+L76)*Assumptions!J20</f>
        <v>1532.8934714460786</v>
      </c>
      <c r="M80" s="23">
        <f>(M75+M76)*Assumptions!K20</f>
        <v>1298.7554282093349</v>
      </c>
      <c r="N80" s="23">
        <f>(N75+N76)*Assumptions!L20</f>
        <v>1059.0123989816213</v>
      </c>
      <c r="O80" s="41">
        <f>(O75+O76)*Assumptions!M20</f>
        <v>849.77907223161469</v>
      </c>
      <c r="P80" s="41">
        <f>(P75+P76)*Assumptions!N20</f>
        <v>586.84129904975953</v>
      </c>
      <c r="Q80" s="41">
        <f>(Q75+Q76)*Assumptions!O20</f>
        <v>533.42223372677279</v>
      </c>
      <c r="R80" s="41">
        <f>(R75+R76)*Assumptions!P20</f>
        <v>478.94305761829094</v>
      </c>
      <c r="S80" s="41">
        <f>(S75+S76)*Assumptions!Q20</f>
        <v>423.37388806183287</v>
      </c>
      <c r="T80" s="41">
        <f>(T75+T76)*Assumptions!R20</f>
        <v>366.66907854591307</v>
      </c>
      <c r="U80" s="41">
        <f>(U75+U76)*Assumptions!S20</f>
        <v>308.78079038837205</v>
      </c>
      <c r="V80" s="41">
        <f>(V75+V76)*Assumptions!T20</f>
        <v>249.67211664884221</v>
      </c>
      <c r="W80" s="41">
        <f>(W75+W76)*Assumptions!U20</f>
        <v>189.2907174739351</v>
      </c>
      <c r="X80" s="41">
        <f>(X75+X76)*Assumptions!V20</f>
        <v>127.58181526364378</v>
      </c>
      <c r="Y80" s="45">
        <f>(Y75+Y76)*Assumptions!W20</f>
        <v>64.500713524986935</v>
      </c>
    </row>
    <row r="81" spans="3:25" x14ac:dyDescent="0.25">
      <c r="C81" s="38" t="s">
        <v>81</v>
      </c>
      <c r="D81" s="23"/>
      <c r="E81" s="23"/>
      <c r="F81" s="23">
        <v>0</v>
      </c>
      <c r="G81" s="23">
        <v>0</v>
      </c>
      <c r="H81" s="23">
        <v>0</v>
      </c>
      <c r="I81" s="23">
        <v>0</v>
      </c>
      <c r="J81" s="23">
        <v>0</v>
      </c>
      <c r="K81" s="23">
        <v>0</v>
      </c>
      <c r="L81" s="23">
        <v>0</v>
      </c>
      <c r="M81" s="23">
        <v>0</v>
      </c>
      <c r="N81" s="41">
        <f>-N59-N70</f>
        <v>1648.8873979026466</v>
      </c>
      <c r="O81" s="23">
        <v>0</v>
      </c>
      <c r="P81" s="23">
        <v>0</v>
      </c>
      <c r="Q81" s="23">
        <v>0</v>
      </c>
      <c r="R81" s="23">
        <v>0</v>
      </c>
      <c r="S81" s="23">
        <v>0</v>
      </c>
      <c r="T81" s="23">
        <v>0</v>
      </c>
      <c r="U81" s="23">
        <v>0</v>
      </c>
      <c r="V81" s="23">
        <v>0</v>
      </c>
      <c r="W81" s="23">
        <v>0</v>
      </c>
      <c r="X81" s="23">
        <v>0</v>
      </c>
      <c r="Y81" s="26">
        <v>0</v>
      </c>
    </row>
    <row r="82" spans="3:25" x14ac:dyDescent="0.25">
      <c r="C82" s="38" t="s">
        <v>82</v>
      </c>
      <c r="D82" s="23"/>
      <c r="E82" s="23"/>
      <c r="F82" s="23">
        <f>-SUM(F75:F81)*Base!F36/SUM(Base!F36:$Y$36)</f>
        <v>-7967.1953946852755</v>
      </c>
      <c r="G82" s="23">
        <f>-SUM(G75:G81)*Base!G36/SUM(Base!G36:$Y$36)</f>
        <v>-7868.2746966648656</v>
      </c>
      <c r="H82" s="23">
        <f>-SUM(H75:H81)*Base!H36/SUM(Base!H36:$Y$36)</f>
        <v>-7770.5821980310729</v>
      </c>
      <c r="I82" s="23">
        <f>-SUM(I75:I81)*Base!I36/SUM(Base!I36:$Y$36)</f>
        <v>-7673.2945089117256</v>
      </c>
      <c r="J82" s="23">
        <f>-SUM(J75:J81)*Base!J36/SUM(Base!J36:$Y$36)</f>
        <v>-7577.2248616601501</v>
      </c>
      <c r="K82" s="23">
        <f>-SUM(K75:K81)*Base!K36/SUM(Base!K36:$Y$36)</f>
        <v>-7481.5699750065542</v>
      </c>
      <c r="L82" s="23">
        <f>-SUM(L75:L81)*Base!L36/SUM(Base!L36:$Y$36)</f>
        <v>-7386.3445523646733</v>
      </c>
      <c r="M82" s="23">
        <f>-SUM(M75:M81)*Base!M36/SUM(Base!M36:$Y$36)</f>
        <v>-7292.3311589021732</v>
      </c>
      <c r="N82" s="41">
        <f>-SUM(N75:N81)*N36/SUM(N36:$Y$36)</f>
        <v>-7938.73296563443</v>
      </c>
      <c r="O82" s="41">
        <f>-SUM(O75:O81)*O36/SUM(O36:$Y$36)</f>
        <v>-7423.2234017779911</v>
      </c>
      <c r="P82" s="41">
        <f>-SUM(P75:P81)*P36/SUM(P36:$Y$36)</f>
        <v>-1922.3179321244279</v>
      </c>
      <c r="Q82" s="41">
        <f>-SUM(Q75:Q81)*Q36/SUM(Q36:$Y$36)</f>
        <v>-1895.4016364388217</v>
      </c>
      <c r="R82" s="41">
        <f>-SUM(R75:R81)*R36/SUM(R36:$Y$36)</f>
        <v>-1868.1722965297424</v>
      </c>
      <c r="S82" s="41">
        <f>-SUM(S75:S81)*S36/SUM(S36:$Y$36)</f>
        <v>-1840.994125959827</v>
      </c>
      <c r="T82" s="41">
        <f>-SUM(T75:T81)*T36/SUM(T36:$Y$36)</f>
        <v>-1813.876282484438</v>
      </c>
      <c r="U82" s="41">
        <f>-SUM(U75:U81)*U36/SUM(U36:$Y$36)</f>
        <v>-1786.4976338766182</v>
      </c>
      <c r="V82" s="41">
        <f>-SUM(V75:V81)*V36/SUM(V36:$Y$36)</f>
        <v>-1759.2070960215194</v>
      </c>
      <c r="W82" s="41">
        <f>-SUM(W75:W81)*W36/SUM(W36:$Y$36)</f>
        <v>-1732.0132727312182</v>
      </c>
      <c r="X82" s="41">
        <f>-SUM(X75:X81)*X36/SUM(X36:$Y$36)</f>
        <v>-1704.6093587300647</v>
      </c>
      <c r="Y82" s="45">
        <f>-SUM(Y75:Y81)*Y36/SUM(Y36:$Y$36)</f>
        <v>-1677.0185516496601</v>
      </c>
    </row>
    <row r="83" spans="3:25" x14ac:dyDescent="0.25">
      <c r="C83" s="39" t="s">
        <v>75</v>
      </c>
      <c r="D83" s="28"/>
      <c r="E83" s="28"/>
      <c r="F83" s="28">
        <f>SUM(F75:F82)</f>
        <v>65696.035804775805</v>
      </c>
      <c r="G83" s="28">
        <f>SUM(G75:G82)</f>
        <v>60455.602540301981</v>
      </c>
      <c r="H83" s="28">
        <f t="shared" ref="H83:Y83" si="22">SUM(H75:H82)</f>
        <v>55103.244443882992</v>
      </c>
      <c r="I83" s="28">
        <f t="shared" si="22"/>
        <v>49634.079712726583</v>
      </c>
      <c r="J83" s="28">
        <f t="shared" si="22"/>
        <v>44042.218039575499</v>
      </c>
      <c r="K83" s="28">
        <f t="shared" si="22"/>
        <v>38322.336786151965</v>
      </c>
      <c r="L83" s="28">
        <f t="shared" si="22"/>
        <v>32468.88570523337</v>
      </c>
      <c r="M83" s="28">
        <f t="shared" si="22"/>
        <v>26475.309974540531</v>
      </c>
      <c r="N83" s="46">
        <f t="shared" si="22"/>
        <v>21244.476805790368</v>
      </c>
      <c r="O83" s="46">
        <f t="shared" si="22"/>
        <v>14671.032476243989</v>
      </c>
      <c r="P83" s="46">
        <f t="shared" si="22"/>
        <v>13335.555843169321</v>
      </c>
      <c r="Q83" s="46">
        <f t="shared" si="22"/>
        <v>11973.576440457273</v>
      </c>
      <c r="R83" s="46">
        <f t="shared" si="22"/>
        <v>10584.347201545821</v>
      </c>
      <c r="S83" s="46">
        <f t="shared" si="22"/>
        <v>9166.7269636478268</v>
      </c>
      <c r="T83" s="46">
        <f t="shared" si="22"/>
        <v>7719.5197597093011</v>
      </c>
      <c r="U83" s="46">
        <f t="shared" si="22"/>
        <v>6241.8029162210551</v>
      </c>
      <c r="V83" s="46">
        <f t="shared" si="22"/>
        <v>4732.2679368483778</v>
      </c>
      <c r="W83" s="46">
        <f t="shared" si="22"/>
        <v>3189.5453815910942</v>
      </c>
      <c r="X83" s="46">
        <f t="shared" si="22"/>
        <v>1612.5178381246733</v>
      </c>
      <c r="Y83" s="47">
        <f t="shared" si="22"/>
        <v>0</v>
      </c>
    </row>
    <row r="85" spans="3:25" x14ac:dyDescent="0.25">
      <c r="C85" s="3" t="s">
        <v>85</v>
      </c>
    </row>
    <row r="86" spans="3:25" x14ac:dyDescent="0.25">
      <c r="C86" s="37" t="s">
        <v>74</v>
      </c>
      <c r="D86" s="20"/>
      <c r="E86" s="20"/>
      <c r="F86" s="20">
        <f>F53+F64+F75</f>
        <v>0</v>
      </c>
      <c r="G86" s="20">
        <f t="shared" ref="G86:Y86" si="23">G53+G64+G75</f>
        <v>-124927.19539468529</v>
      </c>
      <c r="H86" s="20">
        <f t="shared" si="23"/>
        <v>-57513.373907137538</v>
      </c>
      <c r="I86" s="20">
        <f t="shared" si="23"/>
        <v>-11189.661455054105</v>
      </c>
      <c r="J86" s="20">
        <f t="shared" si="23"/>
        <v>34236.348289108821</v>
      </c>
      <c r="K86" s="20">
        <f t="shared" si="23"/>
        <v>60986.140622343461</v>
      </c>
      <c r="L86" s="20">
        <f t="shared" si="23"/>
        <v>70253.708966441278</v>
      </c>
      <c r="M86" s="20">
        <f t="shared" si="23"/>
        <v>79261.70404734835</v>
      </c>
      <c r="N86" s="20">
        <f t="shared" si="23"/>
        <v>72733.242570923219</v>
      </c>
      <c r="O86" s="48">
        <f t="shared" si="23"/>
        <v>50894.769994880611</v>
      </c>
      <c r="P86" s="48">
        <f t="shared" si="23"/>
        <v>17335.121993867779</v>
      </c>
      <c r="Q86" s="48">
        <f t="shared" si="23"/>
        <v>46187.724116901307</v>
      </c>
      <c r="R86" s="48">
        <f t="shared" si="23"/>
        <v>63869.249939094574</v>
      </c>
      <c r="S86" s="48">
        <f t="shared" si="23"/>
        <v>76245.430384161795</v>
      </c>
      <c r="T86" s="48">
        <f t="shared" si="23"/>
        <v>83685.865648908803</v>
      </c>
      <c r="U86" s="48">
        <f t="shared" si="23"/>
        <v>81943.314337591379</v>
      </c>
      <c r="V86" s="48">
        <f t="shared" si="23"/>
        <v>75985.249420244014</v>
      </c>
      <c r="W86" s="48">
        <f t="shared" si="23"/>
        <v>66096.369963516001</v>
      </c>
      <c r="X86" s="48">
        <f t="shared" si="23"/>
        <v>48642.235698277917</v>
      </c>
      <c r="Y86" s="49">
        <f t="shared" si="23"/>
        <v>24128.91057782236</v>
      </c>
    </row>
    <row r="87" spans="3:25" x14ac:dyDescent="0.25">
      <c r="C87" s="22" t="s">
        <v>76</v>
      </c>
      <c r="D87" s="23"/>
      <c r="E87" s="23"/>
      <c r="F87" s="23">
        <f t="shared" ref="F87:Y90" si="24">F54+F65+F76</f>
        <v>0</v>
      </c>
      <c r="G87" s="23">
        <f t="shared" si="24"/>
        <v>0</v>
      </c>
      <c r="H87" s="23">
        <f t="shared" si="24"/>
        <v>0</v>
      </c>
      <c r="I87" s="23">
        <f t="shared" si="24"/>
        <v>0</v>
      </c>
      <c r="J87" s="23">
        <f t="shared" si="24"/>
        <v>0</v>
      </c>
      <c r="K87" s="23">
        <f t="shared" si="24"/>
        <v>0</v>
      </c>
      <c r="L87" s="23">
        <f t="shared" si="24"/>
        <v>0</v>
      </c>
      <c r="M87" s="23">
        <f t="shared" si="24"/>
        <v>0</v>
      </c>
      <c r="N87" s="23">
        <f t="shared" si="24"/>
        <v>0</v>
      </c>
      <c r="O87" s="23">
        <f t="shared" si="24"/>
        <v>0</v>
      </c>
      <c r="P87" s="23">
        <f t="shared" si="24"/>
        <v>0</v>
      </c>
      <c r="Q87" s="23">
        <f t="shared" si="24"/>
        <v>0</v>
      </c>
      <c r="R87" s="23">
        <f t="shared" si="24"/>
        <v>0</v>
      </c>
      <c r="S87" s="23">
        <f t="shared" si="24"/>
        <v>0</v>
      </c>
      <c r="T87" s="23">
        <f t="shared" si="24"/>
        <v>0</v>
      </c>
      <c r="U87" s="23">
        <f t="shared" si="24"/>
        <v>0</v>
      </c>
      <c r="V87" s="23">
        <f t="shared" si="24"/>
        <v>0</v>
      </c>
      <c r="W87" s="23">
        <f t="shared" si="24"/>
        <v>0</v>
      </c>
      <c r="X87" s="23">
        <f t="shared" si="24"/>
        <v>0</v>
      </c>
      <c r="Y87" s="26">
        <f t="shared" si="24"/>
        <v>0</v>
      </c>
    </row>
    <row r="88" spans="3:25" x14ac:dyDescent="0.25">
      <c r="C88" s="22" t="s">
        <v>77</v>
      </c>
      <c r="D88" s="23"/>
      <c r="E88" s="23"/>
      <c r="F88" s="23">
        <f t="shared" si="24"/>
        <v>0</v>
      </c>
      <c r="G88" s="23">
        <f t="shared" si="24"/>
        <v>0</v>
      </c>
      <c r="H88" s="23">
        <f t="shared" si="24"/>
        <v>0</v>
      </c>
      <c r="I88" s="23">
        <f t="shared" si="24"/>
        <v>0</v>
      </c>
      <c r="J88" s="23">
        <f t="shared" si="24"/>
        <v>0</v>
      </c>
      <c r="K88" s="23">
        <f t="shared" si="24"/>
        <v>0</v>
      </c>
      <c r="L88" s="23">
        <f t="shared" si="24"/>
        <v>0</v>
      </c>
      <c r="M88" s="23">
        <f t="shared" si="24"/>
        <v>0</v>
      </c>
      <c r="N88" s="23">
        <f t="shared" si="24"/>
        <v>0</v>
      </c>
      <c r="O88" s="23">
        <f t="shared" si="24"/>
        <v>0</v>
      </c>
      <c r="P88" s="23">
        <f t="shared" si="24"/>
        <v>0</v>
      </c>
      <c r="Q88" s="23">
        <f t="shared" si="24"/>
        <v>0</v>
      </c>
      <c r="R88" s="23">
        <f t="shared" si="24"/>
        <v>0</v>
      </c>
      <c r="S88" s="23">
        <f t="shared" si="24"/>
        <v>0</v>
      </c>
      <c r="T88" s="23">
        <f t="shared" si="24"/>
        <v>0</v>
      </c>
      <c r="U88" s="23">
        <f t="shared" si="24"/>
        <v>0</v>
      </c>
      <c r="V88" s="23">
        <f t="shared" si="24"/>
        <v>0</v>
      </c>
      <c r="W88" s="23">
        <f t="shared" si="24"/>
        <v>0</v>
      </c>
      <c r="X88" s="23">
        <f t="shared" si="24"/>
        <v>0</v>
      </c>
      <c r="Y88" s="26">
        <f t="shared" si="24"/>
        <v>0</v>
      </c>
    </row>
    <row r="89" spans="3:25" x14ac:dyDescent="0.25">
      <c r="C89" s="22" t="s">
        <v>78</v>
      </c>
      <c r="D89" s="23"/>
      <c r="E89" s="23"/>
      <c r="F89" s="23">
        <f t="shared" si="24"/>
        <v>205000</v>
      </c>
      <c r="G89" s="23">
        <f t="shared" si="24"/>
        <v>194668</v>
      </c>
      <c r="H89" s="23">
        <f t="shared" si="24"/>
        <v>184856.7328</v>
      </c>
      <c r="I89" s="23">
        <f t="shared" si="24"/>
        <v>175521.46779360002</v>
      </c>
      <c r="J89" s="23">
        <f t="shared" si="24"/>
        <v>166657.63367002321</v>
      </c>
      <c r="K89" s="23">
        <f t="shared" si="24"/>
        <v>158224.75740632004</v>
      </c>
      <c r="L89" s="23">
        <f t="shared" si="24"/>
        <v>150202.76220581963</v>
      </c>
      <c r="M89" s="23">
        <f t="shared" si="24"/>
        <v>142587.48216198458</v>
      </c>
      <c r="N89" s="23">
        <f t="shared" si="24"/>
        <v>135344.03806815576</v>
      </c>
      <c r="O89" s="23">
        <f t="shared" si="24"/>
        <v>121687.82462707884</v>
      </c>
      <c r="P89" s="23">
        <f t="shared" si="24"/>
        <v>98291.114345730937</v>
      </c>
      <c r="Q89" s="23">
        <f t="shared" si="24"/>
        <v>93187.34823332887</v>
      </c>
      <c r="R89" s="23">
        <f t="shared" si="24"/>
        <v>88315.979604431603</v>
      </c>
      <c r="S89" s="23">
        <f t="shared" si="24"/>
        <v>83683.806474179146</v>
      </c>
      <c r="T89" s="23">
        <f t="shared" si="24"/>
        <v>79279.946158475475</v>
      </c>
      <c r="U89" s="23">
        <f t="shared" si="24"/>
        <v>75080.091010730233</v>
      </c>
      <c r="V89" s="23">
        <f t="shared" si="24"/>
        <v>71089.584173509924</v>
      </c>
      <c r="W89" s="23">
        <f t="shared" si="24"/>
        <v>67298.732097457512</v>
      </c>
      <c r="X89" s="23">
        <f t="shared" si="24"/>
        <v>63686.472652126475</v>
      </c>
      <c r="Y89" s="26">
        <f t="shared" si="24"/>
        <v>60245.810967095342</v>
      </c>
    </row>
    <row r="90" spans="3:25" x14ac:dyDescent="0.25">
      <c r="C90" s="22" t="s">
        <v>79</v>
      </c>
      <c r="D90" s="23"/>
      <c r="E90" s="23"/>
      <c r="F90" s="23">
        <f>F57+F68+F79</f>
        <v>-314000</v>
      </c>
      <c r="G90" s="23">
        <f t="shared" si="24"/>
        <v>-114189.4</v>
      </c>
      <c r="H90" s="23">
        <f t="shared" si="24"/>
        <v>-126469.05744000002</v>
      </c>
      <c r="I90" s="23">
        <f t="shared" si="24"/>
        <v>-120082.37003928001</v>
      </c>
      <c r="J90" s="23">
        <f t="shared" si="24"/>
        <v>-130277.49168595717</v>
      </c>
      <c r="K90" s="23">
        <f t="shared" si="24"/>
        <v>-139122.0123048253</v>
      </c>
      <c r="L90" s="23">
        <f t="shared" si="24"/>
        <v>-132068.52628097069</v>
      </c>
      <c r="M90" s="23">
        <f t="shared" si="24"/>
        <v>-139283.62586798737</v>
      </c>
      <c r="N90" s="23">
        <f t="shared" si="24"/>
        <v>-145412.31407078687</v>
      </c>
      <c r="O90" s="41">
        <f t="shared" si="24"/>
        <v>-142612.19447149118</v>
      </c>
      <c r="P90" s="41">
        <f t="shared" si="24"/>
        <v>-66254.123316502097</v>
      </c>
      <c r="Q90" s="41">
        <f t="shared" si="24"/>
        <v>-72623.072514169457</v>
      </c>
      <c r="R90" s="41">
        <f t="shared" si="24"/>
        <v>-73474.910851356079</v>
      </c>
      <c r="S90" s="41">
        <f t="shared" si="24"/>
        <v>-74025.562644264486</v>
      </c>
      <c r="T90" s="41">
        <f t="shared" si="24"/>
        <v>-78475.224900475907</v>
      </c>
      <c r="U90" s="41">
        <f t="shared" si="24"/>
        <v>-78269.583598780053</v>
      </c>
      <c r="V90" s="41">
        <f t="shared" si="24"/>
        <v>-77851.112292268561</v>
      </c>
      <c r="W90" s="41">
        <f t="shared" si="24"/>
        <v>-80783.778792173631</v>
      </c>
      <c r="X90" s="41">
        <f t="shared" si="24"/>
        <v>-83151.548692043318</v>
      </c>
      <c r="Y90" s="45">
        <f t="shared" si="24"/>
        <v>-78659.286273955688</v>
      </c>
    </row>
    <row r="91" spans="3:25" x14ac:dyDescent="0.25">
      <c r="C91" s="22" t="s">
        <v>80</v>
      </c>
      <c r="D91" s="23"/>
      <c r="E91" s="23"/>
      <c r="F91" s="23">
        <f t="shared" ref="F91:Y94" si="25">F58+F69+F80</f>
        <v>40</v>
      </c>
      <c r="G91" s="23">
        <f t="shared" si="25"/>
        <v>2400.2961842125878</v>
      </c>
      <c r="H91" s="23">
        <f t="shared" si="25"/>
        <v>4724.0208901144979</v>
      </c>
      <c r="I91" s="23">
        <f t="shared" si="25"/>
        <v>6222.2293179546359</v>
      </c>
      <c r="J91" s="23">
        <f t="shared" si="25"/>
        <v>7702.4440110252353</v>
      </c>
      <c r="K91" s="23">
        <f t="shared" si="25"/>
        <v>8451.986406333901</v>
      </c>
      <c r="L91" s="23">
        <f t="shared" si="25"/>
        <v>8517.8533224787971</v>
      </c>
      <c r="M91" s="23">
        <f t="shared" si="25"/>
        <v>8588.7924840493488</v>
      </c>
      <c r="N91" s="23">
        <f t="shared" si="25"/>
        <v>8052.4031494268474</v>
      </c>
      <c r="O91" s="41">
        <f t="shared" si="25"/>
        <v>6659.9281356242209</v>
      </c>
      <c r="P91" s="41">
        <f t="shared" si="25"/>
        <v>4428.4672248924871</v>
      </c>
      <c r="Q91" s="41">
        <f t="shared" si="25"/>
        <v>5388.62819754255</v>
      </c>
      <c r="R91" s="41">
        <f t="shared" si="25"/>
        <v>5910.7772225321842</v>
      </c>
      <c r="S91" s="41">
        <f t="shared" si="25"/>
        <v>6229.8018613852801</v>
      </c>
      <c r="T91" s="41">
        <f t="shared" si="25"/>
        <v>6360.0725799784204</v>
      </c>
      <c r="U91" s="41">
        <f t="shared" si="25"/>
        <v>6130.7760319114041</v>
      </c>
      <c r="V91" s="41">
        <f t="shared" si="25"/>
        <v>5740.8141754031376</v>
      </c>
      <c r="W91" s="41">
        <f t="shared" si="25"/>
        <v>5201.2066182440258</v>
      </c>
      <c r="X91" s="41">
        <f t="shared" si="25"/>
        <v>4365.7753887119234</v>
      </c>
      <c r="Y91" s="45">
        <f t="shared" si="25"/>
        <v>3254.4972398625177</v>
      </c>
    </row>
    <row r="92" spans="3:25" x14ac:dyDescent="0.25">
      <c r="C92" s="38" t="s">
        <v>81</v>
      </c>
      <c r="D92" s="23"/>
      <c r="E92" s="23"/>
      <c r="F92" s="23">
        <f t="shared" si="25"/>
        <v>0</v>
      </c>
      <c r="G92" s="23">
        <f t="shared" si="25"/>
        <v>0</v>
      </c>
      <c r="H92" s="23">
        <f t="shared" si="25"/>
        <v>0</v>
      </c>
      <c r="I92" s="23">
        <f t="shared" si="25"/>
        <v>0</v>
      </c>
      <c r="J92" s="23">
        <f t="shared" si="25"/>
        <v>0</v>
      </c>
      <c r="K92" s="23">
        <f t="shared" si="25"/>
        <v>0</v>
      </c>
      <c r="L92" s="23">
        <f t="shared" si="25"/>
        <v>0</v>
      </c>
      <c r="M92" s="23">
        <f t="shared" si="25"/>
        <v>0</v>
      </c>
      <c r="N92" s="23">
        <f t="shared" si="25"/>
        <v>0</v>
      </c>
      <c r="O92" s="23">
        <f t="shared" si="25"/>
        <v>0</v>
      </c>
      <c r="P92" s="23">
        <f t="shared" si="25"/>
        <v>0</v>
      </c>
      <c r="Q92" s="23">
        <f t="shared" si="25"/>
        <v>0</v>
      </c>
      <c r="R92" s="23">
        <f t="shared" si="25"/>
        <v>0</v>
      </c>
      <c r="S92" s="23">
        <f t="shared" si="25"/>
        <v>0</v>
      </c>
      <c r="T92" s="23">
        <f t="shared" si="25"/>
        <v>0</v>
      </c>
      <c r="U92" s="23">
        <f t="shared" si="25"/>
        <v>0</v>
      </c>
      <c r="V92" s="23">
        <f t="shared" si="25"/>
        <v>0</v>
      </c>
      <c r="W92" s="23">
        <f t="shared" si="25"/>
        <v>0</v>
      </c>
      <c r="X92" s="23">
        <f t="shared" si="25"/>
        <v>0</v>
      </c>
      <c r="Y92" s="26">
        <f t="shared" si="25"/>
        <v>0</v>
      </c>
    </row>
    <row r="93" spans="3:25" x14ac:dyDescent="0.25">
      <c r="C93" s="38" t="s">
        <v>82</v>
      </c>
      <c r="D93" s="23"/>
      <c r="E93" s="23"/>
      <c r="F93" s="23">
        <f t="shared" si="25"/>
        <v>-15967.195394685275</v>
      </c>
      <c r="G93" s="23">
        <f t="shared" si="25"/>
        <v>-15465.074696664866</v>
      </c>
      <c r="H93" s="23">
        <f t="shared" si="25"/>
        <v>-16787.983798031077</v>
      </c>
      <c r="I93" s="23">
        <f t="shared" si="25"/>
        <v>-16235.317328111727</v>
      </c>
      <c r="J93" s="23">
        <f t="shared" si="25"/>
        <v>-17332.793661856631</v>
      </c>
      <c r="K93" s="23">
        <f t="shared" si="25"/>
        <v>-18287.163163730853</v>
      </c>
      <c r="L93" s="23">
        <f t="shared" si="25"/>
        <v>-17644.094166420648</v>
      </c>
      <c r="M93" s="23">
        <f t="shared" si="25"/>
        <v>-18421.110254471703</v>
      </c>
      <c r="N93" s="41">
        <f t="shared" si="25"/>
        <v>-19822.599722838349</v>
      </c>
      <c r="O93" s="41">
        <f t="shared" si="25"/>
        <v>-19295.206292224706</v>
      </c>
      <c r="P93" s="41">
        <f t="shared" si="25"/>
        <v>-7612.8561310877994</v>
      </c>
      <c r="Q93" s="41">
        <f t="shared" si="25"/>
        <v>-8271.378094508691</v>
      </c>
      <c r="R93" s="41">
        <f t="shared" si="25"/>
        <v>-8375.6655305404929</v>
      </c>
      <c r="S93" s="41">
        <f t="shared" si="25"/>
        <v>-8447.6104265529175</v>
      </c>
      <c r="T93" s="41">
        <f t="shared" si="25"/>
        <v>-8907.3451492954009</v>
      </c>
      <c r="U93" s="41">
        <f t="shared" si="25"/>
        <v>-8899.3483612089567</v>
      </c>
      <c r="V93" s="41">
        <f t="shared" si="25"/>
        <v>-8868.1655133725108</v>
      </c>
      <c r="W93" s="41">
        <f t="shared" si="25"/>
        <v>-9170.2941887659963</v>
      </c>
      <c r="X93" s="41">
        <f t="shared" si="25"/>
        <v>-9414.0244692506385</v>
      </c>
      <c r="Y93" s="45">
        <f t="shared" si="25"/>
        <v>-8969.9325108243593</v>
      </c>
    </row>
    <row r="94" spans="3:25" x14ac:dyDescent="0.25">
      <c r="C94" s="39" t="s">
        <v>75</v>
      </c>
      <c r="D94" s="28"/>
      <c r="E94" s="28"/>
      <c r="F94" s="28">
        <f t="shared" si="25"/>
        <v>-124927.19539468529</v>
      </c>
      <c r="G94" s="28">
        <f t="shared" si="25"/>
        <v>-57513.373907137538</v>
      </c>
      <c r="H94" s="28">
        <f t="shared" si="25"/>
        <v>-11189.661455054105</v>
      </c>
      <c r="I94" s="28">
        <f t="shared" si="25"/>
        <v>34236.348289108821</v>
      </c>
      <c r="J94" s="28">
        <f t="shared" si="25"/>
        <v>60986.140622343461</v>
      </c>
      <c r="K94" s="28">
        <f t="shared" si="25"/>
        <v>70253.708966441278</v>
      </c>
      <c r="L94" s="28">
        <f t="shared" si="25"/>
        <v>79261.70404734835</v>
      </c>
      <c r="M94" s="28">
        <f t="shared" si="25"/>
        <v>72733.242570923219</v>
      </c>
      <c r="N94" s="46">
        <f t="shared" si="25"/>
        <v>50894.769994880611</v>
      </c>
      <c r="O94" s="46">
        <f t="shared" si="25"/>
        <v>17335.121993867779</v>
      </c>
      <c r="P94" s="46">
        <f t="shared" si="25"/>
        <v>46187.724116901307</v>
      </c>
      <c r="Q94" s="46">
        <f t="shared" si="25"/>
        <v>63869.249939094574</v>
      </c>
      <c r="R94" s="46">
        <f t="shared" si="25"/>
        <v>76245.430384161795</v>
      </c>
      <c r="S94" s="46">
        <f t="shared" si="25"/>
        <v>83685.865648908803</v>
      </c>
      <c r="T94" s="46">
        <f t="shared" si="25"/>
        <v>81943.314337591379</v>
      </c>
      <c r="U94" s="46">
        <f t="shared" si="25"/>
        <v>75985.249420244014</v>
      </c>
      <c r="V94" s="46">
        <f t="shared" si="25"/>
        <v>66096.369963516001</v>
      </c>
      <c r="W94" s="46">
        <f t="shared" si="25"/>
        <v>48642.235698277917</v>
      </c>
      <c r="X94" s="46">
        <f t="shared" si="25"/>
        <v>24128.91057782236</v>
      </c>
      <c r="Y94" s="47">
        <f t="shared" si="25"/>
        <v>1.7780621419660747E-10</v>
      </c>
    </row>
    <row r="95" spans="3:2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x14ac:dyDescent="0.25">
      <c r="C96" s="3" t="s">
        <v>86</v>
      </c>
    </row>
    <row r="97" spans="3:28" x14ac:dyDescent="0.25">
      <c r="C97" s="37" t="s">
        <v>74</v>
      </c>
      <c r="D97" s="20"/>
      <c r="E97" s="20"/>
      <c r="F97" s="20">
        <v>0</v>
      </c>
      <c r="G97" s="20">
        <f>F101</f>
        <v>189213.40714203159</v>
      </c>
      <c r="H97" s="20">
        <f t="shared" ref="H97:Y97" si="26">G101</f>
        <v>174120.25546666901</v>
      </c>
      <c r="I97" s="20">
        <f t="shared" si="26"/>
        <v>158704.74524201624</v>
      </c>
      <c r="J97" s="20">
        <f t="shared" si="26"/>
        <v>142952.81622032772</v>
      </c>
      <c r="K97" s="20">
        <f t="shared" si="26"/>
        <v>126847.50352554039</v>
      </c>
      <c r="L97" s="20">
        <f t="shared" si="26"/>
        <v>110373.4772444992</v>
      </c>
      <c r="M97" s="20">
        <f t="shared" si="26"/>
        <v>93514.751919716349</v>
      </c>
      <c r="N97" s="20">
        <f t="shared" si="26"/>
        <v>76252.448782610736</v>
      </c>
      <c r="O97" s="48">
        <f t="shared" si="26"/>
        <v>57729.808609963402</v>
      </c>
      <c r="P97" s="48">
        <f t="shared" si="26"/>
        <v>39867.110153227113</v>
      </c>
      <c r="Q97" s="48">
        <f t="shared" si="26"/>
        <v>36238.081717494322</v>
      </c>
      <c r="R97" s="48">
        <f t="shared" si="26"/>
        <v>32537.034571543969</v>
      </c>
      <c r="S97" s="48">
        <f t="shared" si="26"/>
        <v>28761.938634332466</v>
      </c>
      <c r="T97" s="48">
        <f t="shared" si="26"/>
        <v>24909.692906484932</v>
      </c>
      <c r="U97" s="48">
        <f t="shared" si="26"/>
        <v>20977.04746333804</v>
      </c>
      <c r="V97" s="48">
        <f t="shared" si="26"/>
        <v>16961.49502897335</v>
      </c>
      <c r="W97" s="48">
        <f t="shared" si="26"/>
        <v>12859.479891303425</v>
      </c>
      <c r="X97" s="48">
        <f t="shared" si="26"/>
        <v>8667.2807297311192</v>
      </c>
      <c r="Y97" s="49">
        <f t="shared" si="26"/>
        <v>4381.861084463927</v>
      </c>
    </row>
    <row r="98" spans="3:28" x14ac:dyDescent="0.25">
      <c r="C98" s="22" t="s">
        <v>87</v>
      </c>
      <c r="D98" s="23"/>
      <c r="E98" s="23"/>
      <c r="F98" s="23">
        <f>(F9+F11)*-1</f>
        <v>204000</v>
      </c>
      <c r="G98" s="23">
        <f>(G9+G11)*-1</f>
        <v>0</v>
      </c>
      <c r="H98" s="23">
        <f t="shared" ref="H98:Y98" si="27">(H9+H11)*-1</f>
        <v>0</v>
      </c>
      <c r="I98" s="23">
        <f t="shared" si="27"/>
        <v>0</v>
      </c>
      <c r="J98" s="23">
        <f t="shared" si="27"/>
        <v>0</v>
      </c>
      <c r="K98" s="23">
        <f t="shared" si="27"/>
        <v>0</v>
      </c>
      <c r="L98" s="23">
        <f t="shared" si="27"/>
        <v>0</v>
      </c>
      <c r="M98" s="23">
        <f t="shared" si="27"/>
        <v>0</v>
      </c>
      <c r="N98" s="23">
        <f t="shared" si="27"/>
        <v>0</v>
      </c>
      <c r="O98" s="23">
        <f t="shared" si="27"/>
        <v>0</v>
      </c>
      <c r="P98" s="23">
        <f t="shared" si="27"/>
        <v>0</v>
      </c>
      <c r="Q98" s="23">
        <f t="shared" si="27"/>
        <v>0</v>
      </c>
      <c r="R98" s="23">
        <f t="shared" si="27"/>
        <v>0</v>
      </c>
      <c r="S98" s="23">
        <f t="shared" si="27"/>
        <v>0</v>
      </c>
      <c r="T98" s="23">
        <f t="shared" si="27"/>
        <v>0</v>
      </c>
      <c r="U98" s="23">
        <f t="shared" si="27"/>
        <v>0</v>
      </c>
      <c r="V98" s="23">
        <f t="shared" si="27"/>
        <v>0</v>
      </c>
      <c r="W98" s="23">
        <f t="shared" si="27"/>
        <v>0</v>
      </c>
      <c r="X98" s="23">
        <f t="shared" si="27"/>
        <v>0</v>
      </c>
      <c r="Y98" s="26">
        <f t="shared" si="27"/>
        <v>0</v>
      </c>
    </row>
    <row r="99" spans="3:28"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41">
        <f>(O97+O98)*Assumptions!M18</f>
        <v>2309.1923443985361</v>
      </c>
      <c r="P99" s="41">
        <f>(P97+P98)*Assumptions!N18</f>
        <v>1594.6844061290847</v>
      </c>
      <c r="Q99" s="41">
        <f>(Q97+Q98)*Assumptions!O18</f>
        <v>1449.5232686997729</v>
      </c>
      <c r="R99" s="41">
        <f>(R97+R98)*Assumptions!P18</f>
        <v>1301.4813828617587</v>
      </c>
      <c r="S99" s="41">
        <f>(S97+S98)*Assumptions!Q18</f>
        <v>1150.4775453732987</v>
      </c>
      <c r="T99" s="41">
        <f>(T97+T98)*Assumptions!R18</f>
        <v>996.38771625939728</v>
      </c>
      <c r="U99" s="41">
        <f>(U97+U98)*Assumptions!S18</f>
        <v>839.08189853352167</v>
      </c>
      <c r="V99" s="41">
        <f>(V97+V98)*Assumptions!T18</f>
        <v>678.45980115893406</v>
      </c>
      <c r="W99" s="41">
        <f>(W97+W98)*Assumptions!U18</f>
        <v>514.37919565213701</v>
      </c>
      <c r="X99" s="41">
        <f>(X97+X98)*Assumptions!V18</f>
        <v>346.69122918924478</v>
      </c>
      <c r="Y99" s="45">
        <f>(Y97+Y98)*Assumptions!W18</f>
        <v>175.27444337855709</v>
      </c>
    </row>
    <row r="100" spans="3:28" x14ac:dyDescent="0.25">
      <c r="C100" s="22" t="s">
        <v>89</v>
      </c>
      <c r="D100" s="23"/>
      <c r="E100" s="23"/>
      <c r="F100" s="23">
        <f>-SUM(F97:F99)*Base!F36/SUM(Base!F36:$Y$36)</f>
        <v>-22946.592857968397</v>
      </c>
      <c r="G100" s="23">
        <f>-SUM(G97:G99)*Base!G36/SUM(Base!G36:$Y$36)</f>
        <v>-22661.687961043859</v>
      </c>
      <c r="H100" s="23">
        <f>-SUM(H97:H99)*Base!H36/SUM(Base!H36:$Y$36)</f>
        <v>-22380.320443319535</v>
      </c>
      <c r="I100" s="23">
        <f>-SUM(I97:I99)*Base!I36/SUM(Base!I36:$Y$36)</f>
        <v>-22100.118831369178</v>
      </c>
      <c r="J100" s="23">
        <f>-SUM(J97:J99)*Base!J36/SUM(Base!J36:$Y$36)</f>
        <v>-21823.425343600433</v>
      </c>
      <c r="K100" s="23">
        <f>-SUM(K97:K99)*Base!K36/SUM(Base!K36:$Y$36)</f>
        <v>-21547.926422062828</v>
      </c>
      <c r="L100" s="23">
        <f>-SUM(L97:L99)*Base!L36/SUM(Base!L36:$Y$36)</f>
        <v>-21273.664414562823</v>
      </c>
      <c r="M100" s="23">
        <f>-SUM(M97:M99)*Base!M36/SUM(Base!M36:$Y$36)</f>
        <v>-21002.893213894266</v>
      </c>
      <c r="N100" s="41">
        <f>-SUM(N97:N99)*N36/SUM(N36:$Y$36)</f>
        <v>-21572.738123951764</v>
      </c>
      <c r="O100" s="41">
        <f>-SUM(O97:O99)*O36/SUM(O36:$Y$36)</f>
        <v>-20171.890801134825</v>
      </c>
      <c r="P100" s="41">
        <f>-SUM(P97:P99)*P36/SUM(P36:$Y$36)</f>
        <v>-5223.7128418618731</v>
      </c>
      <c r="Q100" s="41">
        <f>-SUM(Q97:Q99)*Q36/SUM(Q36:$Y$36)</f>
        <v>-5150.570414650123</v>
      </c>
      <c r="R100" s="41">
        <f>-SUM(R97:R99)*R36/SUM(R36:$Y$36)</f>
        <v>-5076.5773200732592</v>
      </c>
      <c r="S100" s="41">
        <f>-SUM(S97:S99)*S36/SUM(S36:$Y$36)</f>
        <v>-5002.7232732208331</v>
      </c>
      <c r="T100" s="41">
        <f>-SUM(T97:T99)*T36/SUM(T36:$Y$36)</f>
        <v>-4929.0331594062891</v>
      </c>
      <c r="U100" s="41">
        <f>-SUM(U97:U99)*U36/SUM(U36:$Y$36)</f>
        <v>-4854.6343328982111</v>
      </c>
      <c r="V100" s="41">
        <f>-SUM(V97:V99)*V36/SUM(V36:$Y$36)</f>
        <v>-4780.4749388288583</v>
      </c>
      <c r="W100" s="41">
        <f>-SUM(W97:W99)*W36/SUM(W36:$Y$36)</f>
        <v>-4706.5783572244418</v>
      </c>
      <c r="X100" s="41">
        <f>-SUM(X97:X99)*X36/SUM(X36:$Y$36)</f>
        <v>-4632.1108744564362</v>
      </c>
      <c r="Y100" s="45">
        <f>-SUM(Y97:Y99)*Y36/SUM(Y36:$Y$36)</f>
        <v>-4557.1355278424844</v>
      </c>
    </row>
    <row r="101" spans="3:28" x14ac:dyDescent="0.25">
      <c r="C101" s="39" t="s">
        <v>75</v>
      </c>
      <c r="D101" s="28"/>
      <c r="E101" s="28"/>
      <c r="F101" s="28">
        <f>SUM(F97:F100)</f>
        <v>189213.40714203159</v>
      </c>
      <c r="G101" s="28">
        <f>SUM(G97:G100)</f>
        <v>174120.25546666901</v>
      </c>
      <c r="H101" s="28">
        <f t="shared" ref="H101:Y101" si="28">SUM(H97:H100)</f>
        <v>158704.74524201624</v>
      </c>
      <c r="I101" s="28">
        <f t="shared" si="28"/>
        <v>142952.81622032772</v>
      </c>
      <c r="J101" s="28">
        <f t="shared" si="28"/>
        <v>126847.50352554039</v>
      </c>
      <c r="K101" s="28">
        <f t="shared" si="28"/>
        <v>110373.4772444992</v>
      </c>
      <c r="L101" s="28">
        <f t="shared" si="28"/>
        <v>93514.751919716349</v>
      </c>
      <c r="M101" s="28">
        <f t="shared" si="28"/>
        <v>76252.448782610736</v>
      </c>
      <c r="N101" s="46">
        <f t="shared" si="28"/>
        <v>57729.808609963402</v>
      </c>
      <c r="O101" s="46">
        <f t="shared" si="28"/>
        <v>39867.110153227113</v>
      </c>
      <c r="P101" s="46">
        <f t="shared" si="28"/>
        <v>36238.081717494322</v>
      </c>
      <c r="Q101" s="46">
        <f t="shared" si="28"/>
        <v>32537.034571543969</v>
      </c>
      <c r="R101" s="46">
        <f t="shared" si="28"/>
        <v>28761.938634332466</v>
      </c>
      <c r="S101" s="46">
        <f t="shared" si="28"/>
        <v>24909.692906484932</v>
      </c>
      <c r="T101" s="46">
        <f t="shared" si="28"/>
        <v>20977.04746333804</v>
      </c>
      <c r="U101" s="46">
        <f t="shared" si="28"/>
        <v>16961.49502897335</v>
      </c>
      <c r="V101" s="46">
        <f t="shared" si="28"/>
        <v>12859.479891303425</v>
      </c>
      <c r="W101" s="46">
        <f t="shared" si="28"/>
        <v>8667.2807297311192</v>
      </c>
      <c r="X101" s="46">
        <f t="shared" si="28"/>
        <v>4381.861084463927</v>
      </c>
      <c r="Y101" s="47">
        <f t="shared" si="28"/>
        <v>0</v>
      </c>
      <c r="Z101" s="23"/>
    </row>
    <row r="103" spans="3:28" x14ac:dyDescent="0.25">
      <c r="C103" s="3" t="s">
        <v>27</v>
      </c>
      <c r="AB103" s="7" t="s">
        <v>47</v>
      </c>
    </row>
    <row r="104" spans="3:28" x14ac:dyDescent="0.25">
      <c r="C104" s="19" t="s">
        <v>54</v>
      </c>
      <c r="D104" s="20"/>
      <c r="E104" s="20"/>
      <c r="F104" s="20">
        <f>-F82</f>
        <v>7967.1953946852755</v>
      </c>
      <c r="G104" s="20">
        <f t="shared" ref="G104:Y104" si="29">-G82</f>
        <v>7868.2746966648656</v>
      </c>
      <c r="H104" s="20">
        <f t="shared" si="29"/>
        <v>7770.5821980310729</v>
      </c>
      <c r="I104" s="20">
        <f t="shared" si="29"/>
        <v>7673.2945089117256</v>
      </c>
      <c r="J104" s="20">
        <f t="shared" si="29"/>
        <v>7577.2248616601501</v>
      </c>
      <c r="K104" s="20">
        <f t="shared" si="29"/>
        <v>7481.5699750065542</v>
      </c>
      <c r="L104" s="20">
        <f t="shared" si="29"/>
        <v>7386.3445523646733</v>
      </c>
      <c r="M104" s="20">
        <f t="shared" si="29"/>
        <v>7292.3311589021732</v>
      </c>
      <c r="N104" s="48">
        <f t="shared" si="29"/>
        <v>7938.73296563443</v>
      </c>
      <c r="O104" s="48">
        <f t="shared" si="29"/>
        <v>7423.2234017779911</v>
      </c>
      <c r="P104" s="48">
        <f t="shared" si="29"/>
        <v>1922.3179321244279</v>
      </c>
      <c r="Q104" s="48">
        <f t="shared" si="29"/>
        <v>1895.4016364388217</v>
      </c>
      <c r="R104" s="48">
        <f t="shared" si="29"/>
        <v>1868.1722965297424</v>
      </c>
      <c r="S104" s="48">
        <f t="shared" si="29"/>
        <v>1840.994125959827</v>
      </c>
      <c r="T104" s="48">
        <f t="shared" si="29"/>
        <v>1813.876282484438</v>
      </c>
      <c r="U104" s="48">
        <f t="shared" si="29"/>
        <v>1786.4976338766182</v>
      </c>
      <c r="V104" s="48">
        <f t="shared" si="29"/>
        <v>1759.2070960215194</v>
      </c>
      <c r="W104" s="48">
        <f t="shared" si="29"/>
        <v>1732.0132727312182</v>
      </c>
      <c r="X104" s="48">
        <f t="shared" si="29"/>
        <v>1704.6093587300647</v>
      </c>
      <c r="Y104" s="49">
        <f t="shared" si="29"/>
        <v>1677.0185516496601</v>
      </c>
      <c r="Z104" s="23"/>
      <c r="AB104" s="2">
        <f>NPV(0.04,F104:Z104)</f>
        <v>71988.516413711288</v>
      </c>
    </row>
    <row r="105" spans="3:28" x14ac:dyDescent="0.25">
      <c r="C105" s="22" t="s">
        <v>55</v>
      </c>
      <c r="D105" s="23"/>
      <c r="E105" s="23"/>
      <c r="F105" s="23">
        <f>-F71</f>
        <v>8000</v>
      </c>
      <c r="G105" s="23">
        <f t="shared" ref="G105:Y105" si="30">-G71</f>
        <v>7596.8</v>
      </c>
      <c r="H105" s="23">
        <f t="shared" si="30"/>
        <v>9017.4016000000029</v>
      </c>
      <c r="I105" s="23">
        <f t="shared" si="30"/>
        <v>8562.0228192000013</v>
      </c>
      <c r="J105" s="23">
        <f t="shared" si="30"/>
        <v>9755.5688001964809</v>
      </c>
      <c r="K105" s="23">
        <f t="shared" si="30"/>
        <v>10805.593188724297</v>
      </c>
      <c r="L105" s="23">
        <f t="shared" si="30"/>
        <v>10257.749614055976</v>
      </c>
      <c r="M105" s="23">
        <f t="shared" si="30"/>
        <v>11128.779095569529</v>
      </c>
      <c r="N105" s="23">
        <f t="shared" si="30"/>
        <v>11883.866757203921</v>
      </c>
      <c r="O105" s="41">
        <f t="shared" si="30"/>
        <v>11871.982890446716</v>
      </c>
      <c r="P105" s="41">
        <f t="shared" si="30"/>
        <v>5690.5381989633715</v>
      </c>
      <c r="Q105" s="41">
        <f t="shared" si="30"/>
        <v>6375.9764580698702</v>
      </c>
      <c r="R105" s="41">
        <f t="shared" si="30"/>
        <v>6507.4932340107507</v>
      </c>
      <c r="S105" s="41">
        <f t="shared" si="30"/>
        <v>6606.6163005930912</v>
      </c>
      <c r="T105" s="41">
        <f t="shared" si="30"/>
        <v>7093.4688668109638</v>
      </c>
      <c r="U105" s="41">
        <f t="shared" si="30"/>
        <v>7112.8507273323385</v>
      </c>
      <c r="V105" s="41">
        <f t="shared" si="30"/>
        <v>7108.9584173509911</v>
      </c>
      <c r="W105" s="41">
        <f t="shared" si="30"/>
        <v>7438.2809160347788</v>
      </c>
      <c r="X105" s="41">
        <f t="shared" si="30"/>
        <v>7709.4151105205738</v>
      </c>
      <c r="Y105" s="45">
        <f t="shared" si="30"/>
        <v>7292.9139591746998</v>
      </c>
      <c r="Z105" s="23"/>
      <c r="AB105" s="2">
        <f t="shared" ref="AB105:AB107" si="31">NPV(0.04,F105:Z105)</f>
        <v>116353.44994199647</v>
      </c>
    </row>
    <row r="106" spans="3:28" x14ac:dyDescent="0.25">
      <c r="C106" s="22" t="s">
        <v>90</v>
      </c>
      <c r="D106" s="23"/>
      <c r="E106" s="23"/>
      <c r="F106" s="23">
        <f t="shared" ref="F106:N106" si="32">-F15</f>
        <v>80000</v>
      </c>
      <c r="G106" s="23">
        <f t="shared" si="32"/>
        <v>75968</v>
      </c>
      <c r="H106" s="23">
        <f t="shared" si="32"/>
        <v>90174.016000000018</v>
      </c>
      <c r="I106" s="23">
        <f t="shared" si="32"/>
        <v>85620.22819200001</v>
      </c>
      <c r="J106" s="23">
        <f t="shared" si="32"/>
        <v>97555.688001964809</v>
      </c>
      <c r="K106" s="23">
        <f t="shared" si="32"/>
        <v>108055.93188724296</v>
      </c>
      <c r="L106" s="23">
        <f t="shared" si="32"/>
        <v>102577.49614055976</v>
      </c>
      <c r="M106" s="23">
        <f t="shared" si="32"/>
        <v>111287.79095569528</v>
      </c>
      <c r="N106" s="23">
        <f t="shared" si="32"/>
        <v>118838.66757203921</v>
      </c>
      <c r="O106" s="41">
        <f>-O26</f>
        <v>118719.82890446715</v>
      </c>
      <c r="P106" s="41">
        <f t="shared" ref="P106:Y106" si="33">-P26</f>
        <v>56905.381989633708</v>
      </c>
      <c r="Q106" s="41">
        <f t="shared" si="33"/>
        <v>63759.764580698698</v>
      </c>
      <c r="R106" s="41">
        <f t="shared" si="33"/>
        <v>65074.932340107502</v>
      </c>
      <c r="S106" s="41">
        <f t="shared" si="33"/>
        <v>66066.16300593091</v>
      </c>
      <c r="T106" s="41">
        <f t="shared" si="33"/>
        <v>70934.688668109637</v>
      </c>
      <c r="U106" s="41">
        <f t="shared" si="33"/>
        <v>71128.507273323383</v>
      </c>
      <c r="V106" s="41">
        <f t="shared" si="33"/>
        <v>71089.584173509909</v>
      </c>
      <c r="W106" s="41">
        <f t="shared" si="33"/>
        <v>74382.809160347781</v>
      </c>
      <c r="X106" s="41">
        <f t="shared" si="33"/>
        <v>77094.151105205732</v>
      </c>
      <c r="Y106" s="45">
        <f t="shared" si="33"/>
        <v>72929.139591746993</v>
      </c>
      <c r="Z106" s="23"/>
      <c r="AB106" s="2">
        <f t="shared" si="31"/>
        <v>1163534.4994199646</v>
      </c>
    </row>
    <row r="107" spans="3:28" x14ac:dyDescent="0.25">
      <c r="C107" s="22" t="s">
        <v>57</v>
      </c>
      <c r="D107" s="23"/>
      <c r="E107" s="23"/>
      <c r="F107" s="23">
        <f t="shared" ref="F107:N107" si="34">-F10-F12</f>
        <v>30000</v>
      </c>
      <c r="G107" s="23">
        <f t="shared" si="34"/>
        <v>38221.4</v>
      </c>
      <c r="H107" s="23">
        <f t="shared" si="34"/>
        <v>36295.041440000001</v>
      </c>
      <c r="I107" s="23">
        <f t="shared" si="34"/>
        <v>34462.141847280007</v>
      </c>
      <c r="J107" s="23">
        <f t="shared" si="34"/>
        <v>32721.803683992362</v>
      </c>
      <c r="K107" s="23">
        <f t="shared" si="34"/>
        <v>31066.08041758235</v>
      </c>
      <c r="L107" s="23">
        <f t="shared" si="34"/>
        <v>29491.030140410927</v>
      </c>
      <c r="M107" s="23">
        <f t="shared" si="34"/>
        <v>27995.834912292092</v>
      </c>
      <c r="N107" s="23">
        <f t="shared" si="34"/>
        <v>26573.646498747654</v>
      </c>
      <c r="O107" s="41">
        <f>-O21-O23</f>
        <v>23892.365567024019</v>
      </c>
      <c r="P107" s="41">
        <f t="shared" ref="P107:Y107" si="35">-P21-P23</f>
        <v>9348.741326868394</v>
      </c>
      <c r="Q107" s="41">
        <f t="shared" si="35"/>
        <v>8863.3079334707527</v>
      </c>
      <c r="R107" s="41">
        <f t="shared" si="35"/>
        <v>8399.9785112485697</v>
      </c>
      <c r="S107" s="41">
        <f t="shared" si="35"/>
        <v>7959.3996383335807</v>
      </c>
      <c r="T107" s="41">
        <f t="shared" si="35"/>
        <v>7540.5362323662757</v>
      </c>
      <c r="U107" s="41">
        <f t="shared" si="35"/>
        <v>7141.0763254566727</v>
      </c>
      <c r="V107" s="41">
        <f t="shared" si="35"/>
        <v>6761.5281187586506</v>
      </c>
      <c r="W107" s="41">
        <f t="shared" si="35"/>
        <v>6400.9696318258466</v>
      </c>
      <c r="X107" s="41">
        <f t="shared" si="35"/>
        <v>6057.3975868375928</v>
      </c>
      <c r="Y107" s="45">
        <f t="shared" si="35"/>
        <v>5730.1466822086932</v>
      </c>
      <c r="Z107" s="23"/>
      <c r="AB107" s="2">
        <f t="shared" si="31"/>
        <v>296404.34467652818</v>
      </c>
    </row>
    <row r="108" spans="3:28" x14ac:dyDescent="0.25">
      <c r="C108" s="22" t="s">
        <v>56</v>
      </c>
      <c r="D108" s="23"/>
      <c r="E108" s="23"/>
      <c r="F108" s="23">
        <f>-F100</f>
        <v>22946.592857968397</v>
      </c>
      <c r="G108" s="23">
        <f t="shared" ref="G108:Y108" si="36">-G100</f>
        <v>22661.687961043859</v>
      </c>
      <c r="H108" s="23">
        <f t="shared" si="36"/>
        <v>22380.320443319535</v>
      </c>
      <c r="I108" s="23">
        <f t="shared" si="36"/>
        <v>22100.118831369178</v>
      </c>
      <c r="J108" s="23">
        <f t="shared" si="36"/>
        <v>21823.425343600433</v>
      </c>
      <c r="K108" s="23">
        <f t="shared" si="36"/>
        <v>21547.926422062828</v>
      </c>
      <c r="L108" s="23">
        <f t="shared" si="36"/>
        <v>21273.664414562823</v>
      </c>
      <c r="M108" s="23">
        <f t="shared" si="36"/>
        <v>21002.893213894266</v>
      </c>
      <c r="N108" s="41">
        <f t="shared" si="36"/>
        <v>21572.738123951764</v>
      </c>
      <c r="O108" s="41">
        <f t="shared" si="36"/>
        <v>20171.890801134825</v>
      </c>
      <c r="P108" s="41">
        <f t="shared" si="36"/>
        <v>5223.7128418618731</v>
      </c>
      <c r="Q108" s="41">
        <f t="shared" si="36"/>
        <v>5150.570414650123</v>
      </c>
      <c r="R108" s="41">
        <f t="shared" si="36"/>
        <v>5076.5773200732592</v>
      </c>
      <c r="S108" s="41">
        <f t="shared" si="36"/>
        <v>5002.7232732208331</v>
      </c>
      <c r="T108" s="41">
        <f t="shared" si="36"/>
        <v>4929.0331594062891</v>
      </c>
      <c r="U108" s="41">
        <f t="shared" si="36"/>
        <v>4854.6343328982111</v>
      </c>
      <c r="V108" s="41">
        <f t="shared" si="36"/>
        <v>4780.4749388288583</v>
      </c>
      <c r="W108" s="41">
        <f t="shared" si="36"/>
        <v>4706.5783572244418</v>
      </c>
      <c r="X108" s="41">
        <f t="shared" si="36"/>
        <v>4632.1108744564362</v>
      </c>
      <c r="Y108" s="45">
        <f t="shared" si="36"/>
        <v>4557.1355278424844</v>
      </c>
      <c r="Z108" s="23"/>
      <c r="AB108" s="2">
        <f>NPV(0.04,F108:Z108)</f>
        <v>203999.99999999997</v>
      </c>
    </row>
    <row r="109" spans="3:28" x14ac:dyDescent="0.25">
      <c r="C109" s="57" t="s">
        <v>28</v>
      </c>
      <c r="D109" s="23"/>
      <c r="E109" s="23"/>
      <c r="F109" s="52">
        <f>SUM(F104:F108)</f>
        <v>148913.78825265367</v>
      </c>
      <c r="G109" s="52">
        <f t="shared" ref="G109:Y109" si="37">SUM(G104:G108)</f>
        <v>152316.16265770872</v>
      </c>
      <c r="H109" s="52">
        <f t="shared" si="37"/>
        <v>165637.36168135062</v>
      </c>
      <c r="I109" s="52">
        <f t="shared" si="37"/>
        <v>158417.80619876093</v>
      </c>
      <c r="J109" s="52">
        <f t="shared" si="37"/>
        <v>169433.71069141422</v>
      </c>
      <c r="K109" s="52">
        <f t="shared" si="37"/>
        <v>178957.101890619</v>
      </c>
      <c r="L109" s="52">
        <f t="shared" si="37"/>
        <v>170986.28486195416</v>
      </c>
      <c r="M109" s="52">
        <f t="shared" si="37"/>
        <v>178707.62933635333</v>
      </c>
      <c r="N109" s="62">
        <f t="shared" si="37"/>
        <v>186807.65191757699</v>
      </c>
      <c r="O109" s="62">
        <f t="shared" si="37"/>
        <v>182079.29156485072</v>
      </c>
      <c r="P109" s="62">
        <f t="shared" si="37"/>
        <v>79090.692289451763</v>
      </c>
      <c r="Q109" s="62">
        <f t="shared" si="37"/>
        <v>86045.021023328271</v>
      </c>
      <c r="R109" s="62">
        <f t="shared" si="37"/>
        <v>86927.15370196983</v>
      </c>
      <c r="S109" s="62">
        <f t="shared" si="37"/>
        <v>87475.896344038236</v>
      </c>
      <c r="T109" s="62">
        <f t="shared" si="37"/>
        <v>92311.6032091776</v>
      </c>
      <c r="U109" s="62">
        <f t="shared" si="37"/>
        <v>92023.566292887233</v>
      </c>
      <c r="V109" s="62">
        <f t="shared" si="37"/>
        <v>91499.752744469937</v>
      </c>
      <c r="W109" s="62">
        <f t="shared" si="37"/>
        <v>94660.651338164069</v>
      </c>
      <c r="X109" s="62">
        <f t="shared" si="37"/>
        <v>97197.684035750397</v>
      </c>
      <c r="Y109" s="64">
        <f t="shared" si="37"/>
        <v>92186.354312622541</v>
      </c>
      <c r="Z109" s="23"/>
      <c r="AB109" s="52">
        <f>SUM(AB104:AB108)</f>
        <v>1852280.8104522005</v>
      </c>
    </row>
    <row r="110" spans="3:28"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x14ac:dyDescent="0.25">
      <c r="C111" s="22" t="s">
        <v>58</v>
      </c>
      <c r="D111" s="23"/>
      <c r="E111" s="23"/>
      <c r="F111" s="23">
        <f t="shared" ref="F111:Y111" si="38">F26</f>
        <v>-80000</v>
      </c>
      <c r="G111" s="23">
        <f t="shared" si="38"/>
        <v>-75968</v>
      </c>
      <c r="H111" s="23">
        <f t="shared" si="38"/>
        <v>-90174.016000000018</v>
      </c>
      <c r="I111" s="23">
        <f t="shared" si="38"/>
        <v>-85620.22819200001</v>
      </c>
      <c r="J111" s="23">
        <f t="shared" si="38"/>
        <v>-97555.688001964809</v>
      </c>
      <c r="K111" s="23">
        <f t="shared" si="38"/>
        <v>-108055.93188724296</v>
      </c>
      <c r="L111" s="23">
        <f t="shared" si="38"/>
        <v>-102577.49614055976</v>
      </c>
      <c r="M111" s="23">
        <f t="shared" si="38"/>
        <v>-111287.79095569528</v>
      </c>
      <c r="N111" s="23">
        <f t="shared" si="38"/>
        <v>-118838.66757203921</v>
      </c>
      <c r="O111" s="41">
        <f t="shared" si="38"/>
        <v>-118719.82890446715</v>
      </c>
      <c r="P111" s="41">
        <f t="shared" si="38"/>
        <v>-56905.381989633708</v>
      </c>
      <c r="Q111" s="41">
        <f t="shared" si="38"/>
        <v>-63759.764580698698</v>
      </c>
      <c r="R111" s="41">
        <f t="shared" si="38"/>
        <v>-65074.932340107502</v>
      </c>
      <c r="S111" s="41">
        <f t="shared" si="38"/>
        <v>-66066.16300593091</v>
      </c>
      <c r="T111" s="41">
        <f t="shared" si="38"/>
        <v>-70934.688668109637</v>
      </c>
      <c r="U111" s="41">
        <f t="shared" si="38"/>
        <v>-71128.507273323383</v>
      </c>
      <c r="V111" s="41">
        <f t="shared" si="38"/>
        <v>-71089.584173509909</v>
      </c>
      <c r="W111" s="41">
        <f t="shared" si="38"/>
        <v>-74382.809160347781</v>
      </c>
      <c r="X111" s="41">
        <f t="shared" si="38"/>
        <v>-77094.151105205732</v>
      </c>
      <c r="Y111" s="45">
        <f t="shared" si="38"/>
        <v>-72929.139591746993</v>
      </c>
      <c r="Z111" s="23"/>
      <c r="AB111" s="6">
        <f t="shared" ref="AB111:AB119" si="39">NPV(0.04,F111:Z111)</f>
        <v>-1163534.4994199646</v>
      </c>
    </row>
    <row r="112" spans="3:28" x14ac:dyDescent="0.25">
      <c r="C112" s="22" t="s">
        <v>59</v>
      </c>
      <c r="D112" s="23"/>
      <c r="E112" s="23"/>
      <c r="F112" s="23">
        <f t="shared" ref="F112:Y112" si="40">F21+F23</f>
        <v>-30000</v>
      </c>
      <c r="G112" s="23">
        <f t="shared" si="40"/>
        <v>-38221.4</v>
      </c>
      <c r="H112" s="23">
        <f t="shared" si="40"/>
        <v>-36295.041440000001</v>
      </c>
      <c r="I112" s="23">
        <f t="shared" si="40"/>
        <v>-34462.141847280007</v>
      </c>
      <c r="J112" s="23">
        <f t="shared" si="40"/>
        <v>-32721.803683992362</v>
      </c>
      <c r="K112" s="23">
        <f t="shared" si="40"/>
        <v>-31066.08041758235</v>
      </c>
      <c r="L112" s="23">
        <f t="shared" si="40"/>
        <v>-29491.030140410927</v>
      </c>
      <c r="M112" s="23">
        <f t="shared" si="40"/>
        <v>-27995.834912292092</v>
      </c>
      <c r="N112" s="23">
        <f t="shared" si="40"/>
        <v>-26573.646498747654</v>
      </c>
      <c r="O112" s="41">
        <f t="shared" si="40"/>
        <v>-23892.365567024019</v>
      </c>
      <c r="P112" s="41">
        <f t="shared" si="40"/>
        <v>-9348.741326868394</v>
      </c>
      <c r="Q112" s="41">
        <f t="shared" si="40"/>
        <v>-8863.3079334707527</v>
      </c>
      <c r="R112" s="41">
        <f t="shared" si="40"/>
        <v>-8399.9785112485697</v>
      </c>
      <c r="S112" s="41">
        <f t="shared" si="40"/>
        <v>-7959.3996383335807</v>
      </c>
      <c r="T112" s="41">
        <f t="shared" si="40"/>
        <v>-7540.5362323662757</v>
      </c>
      <c r="U112" s="41">
        <f t="shared" si="40"/>
        <v>-7141.0763254566727</v>
      </c>
      <c r="V112" s="41">
        <f t="shared" si="40"/>
        <v>-6761.5281187586506</v>
      </c>
      <c r="W112" s="41">
        <f t="shared" si="40"/>
        <v>-6400.9696318258466</v>
      </c>
      <c r="X112" s="41">
        <f t="shared" si="40"/>
        <v>-6057.3975868375928</v>
      </c>
      <c r="Y112" s="45">
        <f t="shared" si="40"/>
        <v>-5730.1466822086932</v>
      </c>
      <c r="Z112" s="23"/>
      <c r="AB112" s="6">
        <f t="shared" si="39"/>
        <v>-296404.34467652818</v>
      </c>
    </row>
    <row r="113" spans="2:30" x14ac:dyDescent="0.25">
      <c r="C113" s="22" t="s">
        <v>60</v>
      </c>
      <c r="D113" s="23"/>
      <c r="E113" s="23"/>
      <c r="F113" s="23">
        <f>F100</f>
        <v>-22946.592857968397</v>
      </c>
      <c r="G113" s="23">
        <f t="shared" ref="G113:Y113" si="41">G100</f>
        <v>-22661.687961043859</v>
      </c>
      <c r="H113" s="23">
        <f t="shared" si="41"/>
        <v>-22380.320443319535</v>
      </c>
      <c r="I113" s="23">
        <f t="shared" si="41"/>
        <v>-22100.118831369178</v>
      </c>
      <c r="J113" s="23">
        <f t="shared" si="41"/>
        <v>-21823.425343600433</v>
      </c>
      <c r="K113" s="23">
        <f t="shared" si="41"/>
        <v>-21547.926422062828</v>
      </c>
      <c r="L113" s="23">
        <f t="shared" si="41"/>
        <v>-21273.664414562823</v>
      </c>
      <c r="M113" s="23">
        <f t="shared" si="41"/>
        <v>-21002.893213894266</v>
      </c>
      <c r="N113" s="41">
        <f t="shared" si="41"/>
        <v>-21572.738123951764</v>
      </c>
      <c r="O113" s="41">
        <f t="shared" si="41"/>
        <v>-20171.890801134825</v>
      </c>
      <c r="P113" s="41">
        <f t="shared" si="41"/>
        <v>-5223.7128418618731</v>
      </c>
      <c r="Q113" s="41">
        <f t="shared" si="41"/>
        <v>-5150.570414650123</v>
      </c>
      <c r="R113" s="41">
        <f t="shared" si="41"/>
        <v>-5076.5773200732592</v>
      </c>
      <c r="S113" s="41">
        <f t="shared" si="41"/>
        <v>-5002.7232732208331</v>
      </c>
      <c r="T113" s="41">
        <f t="shared" si="41"/>
        <v>-4929.0331594062891</v>
      </c>
      <c r="U113" s="41">
        <f t="shared" si="41"/>
        <v>-4854.6343328982111</v>
      </c>
      <c r="V113" s="41">
        <f t="shared" si="41"/>
        <v>-4780.4749388288583</v>
      </c>
      <c r="W113" s="41">
        <f t="shared" si="41"/>
        <v>-4706.5783572244418</v>
      </c>
      <c r="X113" s="41">
        <f t="shared" si="41"/>
        <v>-4632.1108744564362</v>
      </c>
      <c r="Y113" s="45">
        <f t="shared" si="41"/>
        <v>-4557.1355278424844</v>
      </c>
      <c r="Z113" s="23"/>
      <c r="AB113" s="6">
        <f t="shared" si="39"/>
        <v>-203999.99999999997</v>
      </c>
    </row>
    <row r="114" spans="2:30" x14ac:dyDescent="0.25">
      <c r="C114" s="57" t="s">
        <v>29</v>
      </c>
      <c r="D114" s="23"/>
      <c r="E114" s="23"/>
      <c r="F114" s="52">
        <f>SUM(F111:F113)</f>
        <v>-132946.59285796841</v>
      </c>
      <c r="G114" s="52">
        <f t="shared" ref="G114:Y114" si="42">SUM(G111:G113)</f>
        <v>-136851.08796104384</v>
      </c>
      <c r="H114" s="52">
        <f t="shared" si="42"/>
        <v>-148849.37788331957</v>
      </c>
      <c r="I114" s="52">
        <f t="shared" si="42"/>
        <v>-142182.48887064919</v>
      </c>
      <c r="J114" s="52">
        <f t="shared" si="42"/>
        <v>-152100.9170295576</v>
      </c>
      <c r="K114" s="52">
        <f t="shared" si="42"/>
        <v>-160669.93872688813</v>
      </c>
      <c r="L114" s="52">
        <f t="shared" si="42"/>
        <v>-153342.19069553353</v>
      </c>
      <c r="M114" s="52">
        <f t="shared" si="42"/>
        <v>-160286.51908188165</v>
      </c>
      <c r="N114" s="62">
        <f t="shared" si="42"/>
        <v>-166985.05219473864</v>
      </c>
      <c r="O114" s="62">
        <f t="shared" si="42"/>
        <v>-162784.08527262602</v>
      </c>
      <c r="P114" s="62">
        <f t="shared" si="42"/>
        <v>-71477.836158363963</v>
      </c>
      <c r="Q114" s="62">
        <f t="shared" si="42"/>
        <v>-77773.64292881958</v>
      </c>
      <c r="R114" s="62">
        <f t="shared" si="42"/>
        <v>-78551.488171429344</v>
      </c>
      <c r="S114" s="62">
        <f t="shared" si="42"/>
        <v>-79028.285917485322</v>
      </c>
      <c r="T114" s="62">
        <f t="shared" si="42"/>
        <v>-83404.258059882195</v>
      </c>
      <c r="U114" s="62">
        <f t="shared" si="42"/>
        <v>-83124.217931678257</v>
      </c>
      <c r="V114" s="62">
        <f t="shared" si="42"/>
        <v>-82631.587231097423</v>
      </c>
      <c r="W114" s="62">
        <f t="shared" si="42"/>
        <v>-85490.357149398071</v>
      </c>
      <c r="X114" s="62">
        <f t="shared" si="42"/>
        <v>-87783.659566499759</v>
      </c>
      <c r="Y114" s="64">
        <f t="shared" si="42"/>
        <v>-83216.421801798177</v>
      </c>
      <c r="Z114" s="23"/>
      <c r="AB114" s="52">
        <f>SUM(AB111:AB113)</f>
        <v>-1663938.8440964927</v>
      </c>
    </row>
    <row r="115" spans="2:30"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x14ac:dyDescent="0.25">
      <c r="C116" s="57" t="s">
        <v>30</v>
      </c>
      <c r="D116" s="23"/>
      <c r="E116" s="23"/>
      <c r="F116" s="52">
        <f t="shared" ref="F116:Y116" si="43">F24+F25</f>
        <v>-80000</v>
      </c>
      <c r="G116" s="52">
        <f t="shared" si="43"/>
        <v>-18992</v>
      </c>
      <c r="H116" s="52">
        <f t="shared" si="43"/>
        <v>-18034.803200000002</v>
      </c>
      <c r="I116" s="52">
        <f t="shared" si="43"/>
        <v>-17124.045638400003</v>
      </c>
      <c r="J116" s="52">
        <f t="shared" si="43"/>
        <v>-16259.281333660801</v>
      </c>
      <c r="K116" s="52">
        <f t="shared" si="43"/>
        <v>-15436.561698177566</v>
      </c>
      <c r="L116" s="52">
        <f t="shared" si="43"/>
        <v>-14653.928020079964</v>
      </c>
      <c r="M116" s="52">
        <f t="shared" si="43"/>
        <v>-13910.973869461908</v>
      </c>
      <c r="N116" s="52">
        <f t="shared" si="43"/>
        <v>-13204.296396893244</v>
      </c>
      <c r="O116" s="62">
        <f t="shared" si="43"/>
        <v>-11871.982890446716</v>
      </c>
      <c r="P116" s="62">
        <f t="shared" si="43"/>
        <v>-2956.1237397212312</v>
      </c>
      <c r="Q116" s="62">
        <f t="shared" si="43"/>
        <v>-2802.6270145362064</v>
      </c>
      <c r="R116" s="62">
        <f t="shared" si="43"/>
        <v>-2656.1196873513263</v>
      </c>
      <c r="S116" s="62">
        <f t="shared" si="43"/>
        <v>-2516.8062097497486</v>
      </c>
      <c r="T116" s="62">
        <f t="shared" si="43"/>
        <v>-2384.3592829616682</v>
      </c>
      <c r="U116" s="62">
        <f t="shared" si="43"/>
        <v>-2258.047849946774</v>
      </c>
      <c r="V116" s="62">
        <f t="shared" si="43"/>
        <v>-2138.0326067221031</v>
      </c>
      <c r="W116" s="62">
        <f t="shared" si="43"/>
        <v>-2024.0220179686469</v>
      </c>
      <c r="X116" s="62">
        <f t="shared" si="43"/>
        <v>-1915.3826361541796</v>
      </c>
      <c r="Y116" s="64">
        <f t="shared" si="43"/>
        <v>-1811.9040892359501</v>
      </c>
      <c r="Z116" s="23"/>
      <c r="AB116" s="3">
        <f>NPV(0.04,F25:Y25)+F24</f>
        <v>-204703.70536392182</v>
      </c>
    </row>
    <row r="117" spans="2:30"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23">
        <f>SUM(K86:K87)*Assumptions!I19+SUM(K8:K11)*Assumptions!I19</f>
        <v>9508.4847071256372</v>
      </c>
      <c r="L118" s="23">
        <f>SUM(L86:L87)*Assumptions!J19+SUM(L8:L11)*Assumptions!J19</f>
        <v>9582.5849877886467</v>
      </c>
      <c r="M118" s="23">
        <f>SUM(M86:M87)*Assumptions!K19+SUM(M8:M11)*Assumptions!K19</f>
        <v>9662.3915445555158</v>
      </c>
      <c r="N118" s="23">
        <f>SUM(N86:N87)*Assumptions!L19+SUM(N8:N11)*Assumptions!L19</f>
        <v>9058.9535431052027</v>
      </c>
      <c r="O118" s="41">
        <f>SUM(O86:O87)*Assumptions!M19+SUM(O8:O11)*Assumptions!M19</f>
        <v>7781.7170339479308</v>
      </c>
      <c r="P118" s="41">
        <f>SUM(P86:P87)*Assumptions!N19+SUM(P8:P11)*Assumptions!N19</f>
        <v>5215.7006996468026</v>
      </c>
      <c r="Q118" s="41">
        <f>SUM(Q86:Q87)*Assumptions!O19+SUM(Q8:Q11)*Assumptions!O19</f>
        <v>6283.7482157830727</v>
      </c>
      <c r="R118" s="41">
        <f>SUM(R86:R87)*Assumptions!P19+SUM(R8:R11)*Assumptions!P19</f>
        <v>6859.584787321206</v>
      </c>
      <c r="S118" s="41">
        <f>SUM(S86:S87)*Assumptions!Q19+SUM(S8:S11)*Assumptions!Q19</f>
        <v>7207.4750824229814</v>
      </c>
      <c r="T118" s="41">
        <f>SUM(T86:T87)*Assumptions!R19+SUM(T8:T11)*Assumptions!R19</f>
        <v>7343.5600029525813</v>
      </c>
      <c r="U118" s="41">
        <f>SUM(U86:U87)*Assumptions!S19+SUM(U8:U11)*Assumptions!S19</f>
        <v>7075.6167457606762</v>
      </c>
      <c r="V118" s="41">
        <f>SUM(V86:V87)*Assumptions!T19+SUM(V8:V11)*Assumptions!T19</f>
        <v>6627.4227165097982</v>
      </c>
      <c r="W118" s="41">
        <f>SUM(W86:W87)*Assumptions!U19+SUM(W8:W11)*Assumptions!U19</f>
        <v>6011.3519287392064</v>
      </c>
      <c r="X118" s="41">
        <f>SUM(X86:X87)*Assumptions!V19+SUM(X8:X11)*Assumptions!V19</f>
        <v>5062.9040916290433</v>
      </c>
      <c r="Y118" s="45">
        <f>SUM(Y86:Y87)*Assumptions!W19+SUM(Y8:Y11)*Assumptions!W19</f>
        <v>3804.5364229202596</v>
      </c>
      <c r="Z118" s="23"/>
      <c r="AB118" s="6">
        <f t="shared" si="39"/>
        <v>87808.073975545572</v>
      </c>
    </row>
    <row r="119" spans="2:30" x14ac:dyDescent="0.25">
      <c r="C119" s="38" t="s">
        <v>32</v>
      </c>
      <c r="D119" s="23"/>
      <c r="E119" s="23"/>
      <c r="F119" s="23">
        <f>-F91</f>
        <v>-40</v>
      </c>
      <c r="G119" s="23">
        <f t="shared" ref="G119:Y119" si="44">-G91</f>
        <v>-2400.2961842125878</v>
      </c>
      <c r="H119" s="23">
        <f t="shared" si="44"/>
        <v>-4724.0208901144979</v>
      </c>
      <c r="I119" s="23">
        <f t="shared" si="44"/>
        <v>-6222.2293179546359</v>
      </c>
      <c r="J119" s="23">
        <f t="shared" si="44"/>
        <v>-7702.4440110252353</v>
      </c>
      <c r="K119" s="23">
        <f t="shared" si="44"/>
        <v>-8451.986406333901</v>
      </c>
      <c r="L119" s="23">
        <f t="shared" si="44"/>
        <v>-8517.8533224787971</v>
      </c>
      <c r="M119" s="23">
        <f t="shared" si="44"/>
        <v>-8588.7924840493488</v>
      </c>
      <c r="N119" s="23">
        <f t="shared" si="44"/>
        <v>-8052.4031494268474</v>
      </c>
      <c r="O119" s="41">
        <f t="shared" si="44"/>
        <v>-6659.9281356242209</v>
      </c>
      <c r="P119" s="41">
        <f t="shared" si="44"/>
        <v>-4428.4672248924871</v>
      </c>
      <c r="Q119" s="41">
        <f t="shared" si="44"/>
        <v>-5388.62819754255</v>
      </c>
      <c r="R119" s="41">
        <f t="shared" si="44"/>
        <v>-5910.7772225321842</v>
      </c>
      <c r="S119" s="41">
        <f t="shared" si="44"/>
        <v>-6229.8018613852801</v>
      </c>
      <c r="T119" s="41">
        <f t="shared" si="44"/>
        <v>-6360.0725799784204</v>
      </c>
      <c r="U119" s="41">
        <f t="shared" si="44"/>
        <v>-6130.7760319114041</v>
      </c>
      <c r="V119" s="41">
        <f t="shared" si="44"/>
        <v>-5740.8141754031376</v>
      </c>
      <c r="W119" s="41">
        <f t="shared" si="44"/>
        <v>-5201.2066182440258</v>
      </c>
      <c r="X119" s="41">
        <f t="shared" si="44"/>
        <v>-4365.7753887119234</v>
      </c>
      <c r="Y119" s="45">
        <f t="shared" si="44"/>
        <v>-3254.4972398625177</v>
      </c>
      <c r="Z119" s="23"/>
      <c r="AB119" s="6">
        <f t="shared" si="39"/>
        <v>-76958.718600148553</v>
      </c>
    </row>
    <row r="120" spans="2:30" x14ac:dyDescent="0.25">
      <c r="C120" s="57" t="s">
        <v>61</v>
      </c>
      <c r="D120" s="23"/>
      <c r="E120" s="23"/>
      <c r="F120" s="52">
        <f>SUM(F118:F119)</f>
        <v>5</v>
      </c>
      <c r="G120" s="52">
        <f t="shared" ref="G120:Y120" si="45">SUM(G118:G119)</f>
        <v>300.0370230265753</v>
      </c>
      <c r="H120" s="52">
        <f t="shared" si="45"/>
        <v>590.50261126431178</v>
      </c>
      <c r="I120" s="52">
        <f t="shared" si="45"/>
        <v>777.77866474432903</v>
      </c>
      <c r="J120" s="52">
        <f t="shared" si="45"/>
        <v>962.80550137815317</v>
      </c>
      <c r="K120" s="52">
        <f t="shared" si="45"/>
        <v>1056.4983007917363</v>
      </c>
      <c r="L120" s="52">
        <f t="shared" si="45"/>
        <v>1064.7316653098496</v>
      </c>
      <c r="M120" s="52">
        <f t="shared" si="45"/>
        <v>1073.599060506167</v>
      </c>
      <c r="N120" s="52">
        <f t="shared" si="45"/>
        <v>1006.5503936783552</v>
      </c>
      <c r="O120" s="62">
        <f t="shared" si="45"/>
        <v>1121.7888983237099</v>
      </c>
      <c r="P120" s="62">
        <f t="shared" si="45"/>
        <v>787.23347475431547</v>
      </c>
      <c r="Q120" s="62">
        <f t="shared" si="45"/>
        <v>895.12001824052277</v>
      </c>
      <c r="R120" s="62">
        <f t="shared" si="45"/>
        <v>948.80756478902185</v>
      </c>
      <c r="S120" s="62">
        <f t="shared" si="45"/>
        <v>977.6732210377013</v>
      </c>
      <c r="T120" s="62">
        <f t="shared" si="45"/>
        <v>983.48742297416084</v>
      </c>
      <c r="U120" s="62">
        <f t="shared" si="45"/>
        <v>944.84071384927211</v>
      </c>
      <c r="V120" s="62">
        <f t="shared" si="45"/>
        <v>886.6085411066606</v>
      </c>
      <c r="W120" s="62">
        <f t="shared" si="45"/>
        <v>810.14531049518064</v>
      </c>
      <c r="X120" s="62">
        <f t="shared" si="45"/>
        <v>697.12870291711988</v>
      </c>
      <c r="Y120" s="64">
        <f t="shared" si="45"/>
        <v>550.03918305774187</v>
      </c>
      <c r="Z120" s="23"/>
      <c r="AB120" s="52">
        <f>SUM(AB118:AB119)</f>
        <v>10849.355375397019</v>
      </c>
      <c r="AC120" s="7"/>
      <c r="AD120" s="7"/>
    </row>
    <row r="121" spans="2:30"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x14ac:dyDescent="0.25">
      <c r="C122" s="58" t="s">
        <v>96</v>
      </c>
      <c r="D122" s="28"/>
      <c r="E122" s="28"/>
      <c r="F122" s="60">
        <f t="shared" ref="F122:Y122" si="46">F109+F114+F116+F120</f>
        <v>-64027.804605314741</v>
      </c>
      <c r="G122" s="60">
        <f>G109+G114+G116+G120</f>
        <v>-3226.8882803085517</v>
      </c>
      <c r="H122" s="60">
        <f t="shared" si="46"/>
        <v>-656.31679070463542</v>
      </c>
      <c r="I122" s="60">
        <f t="shared" si="46"/>
        <v>-110.94964554393937</v>
      </c>
      <c r="J122" s="60">
        <f t="shared" si="46"/>
        <v>2036.3178295739681</v>
      </c>
      <c r="K122" s="60">
        <f t="shared" si="46"/>
        <v>3907.0997663450453</v>
      </c>
      <c r="L122" s="60">
        <f t="shared" si="46"/>
        <v>4054.8978116505186</v>
      </c>
      <c r="M122" s="60">
        <f t="shared" si="46"/>
        <v>5583.7354455159439</v>
      </c>
      <c r="N122" s="63">
        <f t="shared" si="46"/>
        <v>7624.8537196234611</v>
      </c>
      <c r="O122" s="63">
        <f t="shared" si="46"/>
        <v>8545.0123001016927</v>
      </c>
      <c r="P122" s="63">
        <f t="shared" si="46"/>
        <v>5443.9658661208832</v>
      </c>
      <c r="Q122" s="63">
        <f t="shared" si="46"/>
        <v>6363.8710982130069</v>
      </c>
      <c r="R122" s="63">
        <f t="shared" si="46"/>
        <v>6668.3534079781812</v>
      </c>
      <c r="S122" s="63">
        <f t="shared" si="46"/>
        <v>6908.4774378408665</v>
      </c>
      <c r="T122" s="63">
        <f t="shared" si="46"/>
        <v>7506.4732893078972</v>
      </c>
      <c r="U122" s="63">
        <f t="shared" si="46"/>
        <v>7586.1412251114753</v>
      </c>
      <c r="V122" s="63">
        <f t="shared" si="46"/>
        <v>7616.7414477570719</v>
      </c>
      <c r="W122" s="63">
        <f t="shared" si="46"/>
        <v>7956.4174812925321</v>
      </c>
      <c r="X122" s="63">
        <f t="shared" si="46"/>
        <v>8195.7705360135787</v>
      </c>
      <c r="Y122" s="65">
        <f t="shared" si="46"/>
        <v>7708.0676046461567</v>
      </c>
      <c r="Z122" s="23"/>
      <c r="AB122" s="3">
        <f>AB109+AB114+AB116+AB120</f>
        <v>-5512.3836328170728</v>
      </c>
      <c r="AC122" s="2">
        <f>NPV(0.04,F118:Y118)+NPV(0.04,F119:Y119)</f>
        <v>10849.355375397019</v>
      </c>
      <c r="AD122" s="3">
        <f>AB122-AC122</f>
        <v>-16361.739008214092</v>
      </c>
    </row>
    <row r="124" spans="2:30" x14ac:dyDescent="0.25">
      <c r="C124" s="66" t="s">
        <v>40</v>
      </c>
      <c r="F124" s="2">
        <f>Base!F124</f>
        <v>-64027.804605314726</v>
      </c>
      <c r="G124" s="2">
        <f>Base!G124</f>
        <v>-3226.8882803085589</v>
      </c>
      <c r="H124" s="2">
        <f>Base!H124</f>
        <v>-656.3167907046136</v>
      </c>
      <c r="I124" s="2">
        <f>Base!I124</f>
        <v>-110.94964554394664</v>
      </c>
      <c r="J124" s="2">
        <f>Base!J124</f>
        <v>2036.3178295739826</v>
      </c>
      <c r="K124" s="2">
        <f>Base!K124</f>
        <v>3907.0997663450235</v>
      </c>
      <c r="L124" s="2">
        <f>Base!L124</f>
        <v>4054.8978116505332</v>
      </c>
      <c r="M124" s="2">
        <f>Base!M124</f>
        <v>5583.7354455159621</v>
      </c>
      <c r="N124" s="2">
        <f>Base!N124</f>
        <v>6884.8767194601751</v>
      </c>
      <c r="O124" s="2">
        <f>Base!O124</f>
        <v>7973.9679692968384</v>
      </c>
      <c r="P124" s="2">
        <f>Base!P124</f>
        <v>5303.6778068502263</v>
      </c>
      <c r="Q124" s="2">
        <f>Base!Q124</f>
        <v>6290.8538173058441</v>
      </c>
      <c r="R124" s="2">
        <f>Base!R124</f>
        <v>6627.8431376822091</v>
      </c>
      <c r="S124" s="2">
        <f>Base!S124</f>
        <v>6896.3032288141512</v>
      </c>
      <c r="T124" s="2">
        <f>Base!T124</f>
        <v>7541.9718721591971</v>
      </c>
      <c r="U124" s="2">
        <f>Base!U124</f>
        <v>7640.0160289516489</v>
      </c>
      <c r="V124" s="2">
        <f>Base!V124</f>
        <v>7685.7447224902253</v>
      </c>
      <c r="W124" s="2">
        <f>Base!W124</f>
        <v>8057.2423800221832</v>
      </c>
      <c r="X124" s="2">
        <f>Base!X124</f>
        <v>8322.4267864143785</v>
      </c>
      <c r="Y124" s="2">
        <f>Base!Y124</f>
        <v>7819.7274020805598</v>
      </c>
      <c r="Z124" s="23"/>
    </row>
    <row r="125" spans="2:30" x14ac:dyDescent="0.25">
      <c r="B125" s="4"/>
      <c r="C125" s="2" t="s">
        <v>2</v>
      </c>
      <c r="F125" s="2">
        <f>F122-F124</f>
        <v>0</v>
      </c>
      <c r="G125" s="2">
        <f t="shared" ref="G125:Y125" si="47">G122-G124</f>
        <v>7.2759576141834259E-12</v>
      </c>
      <c r="H125" s="2">
        <f t="shared" si="47"/>
        <v>-2.1827872842550278E-11</v>
      </c>
      <c r="I125" s="2">
        <f t="shared" si="47"/>
        <v>7.2759576141834259E-12</v>
      </c>
      <c r="J125" s="2">
        <f t="shared" si="47"/>
        <v>-1.4551915228366852E-11</v>
      </c>
      <c r="K125" s="2">
        <f t="shared" si="47"/>
        <v>2.1827872842550278E-11</v>
      </c>
      <c r="L125" s="2">
        <f t="shared" si="47"/>
        <v>-1.4551915228366852E-11</v>
      </c>
      <c r="M125" s="2">
        <f t="shared" si="47"/>
        <v>-1.8189894035458565E-11</v>
      </c>
      <c r="N125" s="2">
        <f t="shared" si="47"/>
        <v>739.97700016328599</v>
      </c>
      <c r="O125" s="2">
        <f t="shared" si="47"/>
        <v>571.04433080485433</v>
      </c>
      <c r="P125" s="2">
        <f t="shared" si="47"/>
        <v>140.28805927065696</v>
      </c>
      <c r="Q125" s="2">
        <f t="shared" si="47"/>
        <v>73.017280907162785</v>
      </c>
      <c r="R125" s="2">
        <f t="shared" si="47"/>
        <v>40.510270295972077</v>
      </c>
      <c r="S125" s="2">
        <f t="shared" si="47"/>
        <v>12.174209026715289</v>
      </c>
      <c r="T125" s="2">
        <f t="shared" si="47"/>
        <v>-35.498582851299943</v>
      </c>
      <c r="U125" s="2">
        <f t="shared" si="47"/>
        <v>-53.874803840173627</v>
      </c>
      <c r="V125" s="2">
        <f t="shared" si="47"/>
        <v>-69.003274733153376</v>
      </c>
      <c r="W125" s="2">
        <f t="shared" si="47"/>
        <v>-100.82489872965107</v>
      </c>
      <c r="X125" s="2">
        <f t="shared" si="47"/>
        <v>-126.65625040079976</v>
      </c>
      <c r="Y125" s="2">
        <f t="shared" si="47"/>
        <v>-111.65979743440312</v>
      </c>
    </row>
    <row r="126" spans="2:30"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Learning Objectives</vt:lpstr>
      <vt:lpstr>Assumptions</vt:lpstr>
      <vt:lpstr>Base</vt:lpstr>
      <vt:lpstr>Expense Shock no Assn Change</vt:lpstr>
      <vt:lpstr>Expense Shock</vt:lpstr>
      <vt:lpstr>Lapse Shock</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 Maynard</dc:creator>
  <cp:lastModifiedBy>Administrator</cp:lastModifiedBy>
  <cp:lastPrinted>2019-10-30T13:32:01Z</cp:lastPrinted>
  <dcterms:created xsi:type="dcterms:W3CDTF">2017-10-24T17:27:01Z</dcterms:created>
  <dcterms:modified xsi:type="dcterms:W3CDTF">2021-02-23T00:08:25Z</dcterms:modified>
</cp:coreProperties>
</file>