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2\F22\"/>
    </mc:Choice>
  </mc:AlternateContent>
  <xr:revisionPtr revIDLastSave="0" documentId="13_ncr:1_{8F4C7295-57AC-40BC-A2DA-1CBD663FE89D}" xr6:coauthVersionLast="47" xr6:coauthVersionMax="47" xr10:uidLastSave="{00000000-0000-0000-0000-000000000000}"/>
  <bookViews>
    <workbookView xWindow="-120" yWindow="-120" windowWidth="29040" windowHeight="15840" xr2:uid="{3C6E1AF0-365B-4086-8B7C-8B2E0BF15503}"/>
  </bookViews>
  <sheets>
    <sheet name="Q1(a)(c)" sheetId="1" r:id="rId1"/>
    <sheet name="Q4(c)" sheetId="2" r:id="rId2"/>
    <sheet name="Q6(b)" sheetId="3" r:id="rId3"/>
    <sheet name="Q7(b)(c)" sheetId="4" r:id="rId4"/>
    <sheet name="Q9(b)" sheetId="5" r:id="rId5"/>
    <sheet name="Q10(a)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36" i="6" l="1"/>
  <c r="V37" i="6"/>
  <c r="V38" i="6"/>
  <c r="V39" i="6"/>
  <c r="V40" i="6"/>
  <c r="V41" i="6"/>
  <c r="V42" i="6"/>
  <c r="V43" i="6"/>
  <c r="V44" i="6"/>
  <c r="V35" i="6"/>
  <c r="D35" i="6"/>
  <c r="A37" i="6"/>
  <c r="A38" i="6" s="1"/>
  <c r="A39" i="6" s="1"/>
  <c r="A40" i="6" s="1"/>
  <c r="A41" i="6" s="1"/>
  <c r="A42" i="6" s="1"/>
  <c r="A43" i="6" s="1"/>
  <c r="A44" i="6" s="1"/>
  <c r="A36" i="6"/>
  <c r="W35" i="6"/>
  <c r="W38" i="6" s="1"/>
  <c r="G35" i="6"/>
  <c r="K35" i="6" s="1"/>
  <c r="F35" i="6"/>
  <c r="F26" i="6"/>
  <c r="D44" i="6" s="1"/>
  <c r="E26" i="6"/>
  <c r="F25" i="6"/>
  <c r="D43" i="6" s="1"/>
  <c r="E25" i="6"/>
  <c r="F24" i="6"/>
  <c r="D42" i="6" s="1"/>
  <c r="E24" i="6"/>
  <c r="F23" i="6"/>
  <c r="D41" i="6" s="1"/>
  <c r="E23" i="6"/>
  <c r="F22" i="6"/>
  <c r="D40" i="6" s="1"/>
  <c r="E22" i="6"/>
  <c r="F21" i="6"/>
  <c r="D39" i="6" s="1"/>
  <c r="E21" i="6"/>
  <c r="F20" i="6"/>
  <c r="D38" i="6" s="1"/>
  <c r="E20" i="6"/>
  <c r="A20" i="6"/>
  <c r="A21" i="6" s="1"/>
  <c r="A22" i="6" s="1"/>
  <c r="A23" i="6" s="1"/>
  <c r="A24" i="6" s="1"/>
  <c r="A25" i="6" s="1"/>
  <c r="A26" i="6" s="1"/>
  <c r="F19" i="6"/>
  <c r="D37" i="6" s="1"/>
  <c r="E19" i="6"/>
  <c r="F18" i="6"/>
  <c r="D36" i="6" s="1"/>
  <c r="E18" i="6"/>
  <c r="G17" i="6"/>
  <c r="G21" i="6" s="1"/>
  <c r="I21" i="6" s="1"/>
  <c r="E39" i="6" s="1"/>
  <c r="F17" i="6"/>
  <c r="E17" i="6"/>
  <c r="W36" i="6" l="1"/>
  <c r="W44" i="6"/>
  <c r="H35" i="6"/>
  <c r="W37" i="6"/>
  <c r="Y35" i="6"/>
  <c r="Y36" i="6" s="1"/>
  <c r="Y37" i="6" s="1"/>
  <c r="Y38" i="6" s="1"/>
  <c r="Y39" i="6" s="1"/>
  <c r="Y40" i="6" s="1"/>
  <c r="Y41" i="6" s="1"/>
  <c r="Y42" i="6" s="1"/>
  <c r="Y43" i="6" s="1"/>
  <c r="Y44" i="6" s="1"/>
  <c r="W43" i="6"/>
  <c r="W42" i="6"/>
  <c r="W41" i="6"/>
  <c r="W40" i="6"/>
  <c r="W39" i="6"/>
  <c r="F36" i="6"/>
  <c r="M35" i="6"/>
  <c r="G18" i="6"/>
  <c r="I18" i="6" s="1"/>
  <c r="E36" i="6" s="1"/>
  <c r="G20" i="6"/>
  <c r="I20" i="6" s="1"/>
  <c r="E38" i="6" s="1"/>
  <c r="G26" i="6"/>
  <c r="I26" i="6" s="1"/>
  <c r="E44" i="6" s="1"/>
  <c r="G24" i="6"/>
  <c r="I24" i="6" s="1"/>
  <c r="E42" i="6" s="1"/>
  <c r="G23" i="6"/>
  <c r="I23" i="6" s="1"/>
  <c r="E41" i="6" s="1"/>
  <c r="G19" i="6"/>
  <c r="I19" i="6" s="1"/>
  <c r="E37" i="6" s="1"/>
  <c r="G25" i="6"/>
  <c r="I25" i="6" s="1"/>
  <c r="E43" i="6" s="1"/>
  <c r="G22" i="6"/>
  <c r="I22" i="6" s="1"/>
  <c r="E40" i="6" s="1"/>
  <c r="I17" i="6"/>
  <c r="E35" i="6" s="1"/>
  <c r="G36" i="6" s="1"/>
  <c r="J35" i="6" s="1"/>
  <c r="L35" i="6" l="1"/>
  <c r="M36" i="6"/>
  <c r="F37" i="6"/>
  <c r="H36" i="6"/>
  <c r="K36" i="6"/>
  <c r="G37" i="6"/>
  <c r="U35" i="6"/>
  <c r="F38" i="6" l="1"/>
  <c r="H37" i="6"/>
  <c r="M37" i="6"/>
  <c r="G38" i="6"/>
  <c r="K37" i="6"/>
  <c r="Z35" i="6"/>
  <c r="J36" i="6"/>
  <c r="L36" i="6" s="1"/>
  <c r="T35" i="6"/>
  <c r="X35" i="6" s="1"/>
  <c r="F39" i="6" l="1"/>
  <c r="H38" i="6"/>
  <c r="M38" i="6"/>
  <c r="G39" i="6"/>
  <c r="K38" i="6"/>
  <c r="J37" i="6"/>
  <c r="L37" i="6" s="1"/>
  <c r="M39" i="6" l="1"/>
  <c r="F40" i="6"/>
  <c r="H39" i="6"/>
  <c r="K39" i="6"/>
  <c r="G40" i="6"/>
  <c r="J39" i="6" s="1"/>
  <c r="L39" i="6" s="1"/>
  <c r="J38" i="6"/>
  <c r="L38" i="6" s="1"/>
  <c r="M40" i="6" l="1"/>
  <c r="F41" i="6"/>
  <c r="H40" i="6"/>
  <c r="K40" i="6"/>
  <c r="G41" i="6"/>
  <c r="J40" i="6" s="1"/>
  <c r="L40" i="6" s="1"/>
  <c r="G42" i="6" l="1"/>
  <c r="K41" i="6"/>
  <c r="F42" i="6"/>
  <c r="H41" i="6"/>
  <c r="M41" i="6"/>
  <c r="F43" i="6" l="1"/>
  <c r="H42" i="6"/>
  <c r="M42" i="6"/>
  <c r="G43" i="6"/>
  <c r="J42" i="6" s="1"/>
  <c r="L42" i="6" s="1"/>
  <c r="K42" i="6"/>
  <c r="J41" i="6"/>
  <c r="L41" i="6" s="1"/>
  <c r="M43" i="6" l="1"/>
  <c r="F44" i="6"/>
  <c r="H43" i="6"/>
  <c r="K43" i="6"/>
  <c r="G44" i="6"/>
  <c r="G45" i="6" l="1"/>
  <c r="J44" i="6" s="1"/>
  <c r="L44" i="6" s="1"/>
  <c r="H44" i="6"/>
  <c r="I39" i="6" s="1"/>
  <c r="O39" i="6" s="1"/>
  <c r="M44" i="6"/>
  <c r="K44" i="6"/>
  <c r="J43" i="6"/>
  <c r="L43" i="6" s="1"/>
  <c r="N44" i="6" l="1"/>
  <c r="N35" i="6"/>
  <c r="N36" i="6"/>
  <c r="N43" i="6"/>
  <c r="N42" i="6"/>
  <c r="N37" i="6"/>
  <c r="N40" i="6"/>
  <c r="N38" i="6"/>
  <c r="N41" i="6"/>
  <c r="N39" i="6"/>
  <c r="I43" i="6"/>
  <c r="O43" i="6" s="1"/>
  <c r="I44" i="6"/>
  <c r="O44" i="6" s="1"/>
  <c r="I35" i="6"/>
  <c r="O35" i="6" s="1"/>
  <c r="AA35" i="6" s="1"/>
  <c r="I37" i="6"/>
  <c r="O37" i="6" s="1"/>
  <c r="I36" i="6"/>
  <c r="O36" i="6" s="1"/>
  <c r="I38" i="6"/>
  <c r="O38" i="6" s="1"/>
  <c r="I41" i="6"/>
  <c r="O41" i="6" s="1"/>
  <c r="I40" i="6"/>
  <c r="O40" i="6" s="1"/>
  <c r="I42" i="6"/>
  <c r="O42" i="6" s="1"/>
  <c r="AB35" i="6" l="1"/>
  <c r="AC35" i="6"/>
  <c r="R35" i="6"/>
  <c r="P35" i="6"/>
  <c r="Q35" i="6" s="1"/>
  <c r="S42" i="6" l="1"/>
  <c r="S43" i="6"/>
  <c r="S36" i="6"/>
  <c r="S44" i="6"/>
  <c r="S40" i="6"/>
  <c r="S37" i="6"/>
  <c r="S35" i="6"/>
  <c r="S38" i="6"/>
  <c r="S41" i="6"/>
  <c r="S39" i="6"/>
  <c r="U36" i="6"/>
  <c r="P36" i="6"/>
  <c r="AA36" i="6" l="1"/>
  <c r="U37" i="6"/>
  <c r="Z36" i="6"/>
  <c r="P37" i="6"/>
  <c r="Q36" i="6"/>
  <c r="T36" i="6" s="1"/>
  <c r="X36" i="6" s="1"/>
  <c r="AB36" i="6" l="1"/>
  <c r="AC36" i="6"/>
  <c r="P38" i="6"/>
  <c r="Q37" i="6"/>
  <c r="T37" i="6" s="1"/>
  <c r="X37" i="6" s="1"/>
  <c r="AA37" i="6"/>
  <c r="U38" i="6"/>
  <c r="Z37" i="6"/>
  <c r="U39" i="6" l="1"/>
  <c r="AA38" i="6"/>
  <c r="Z38" i="6"/>
  <c r="AC37" i="6"/>
  <c r="AB37" i="6"/>
  <c r="P39" i="6"/>
  <c r="Q38" i="6"/>
  <c r="T38" i="6" s="1"/>
  <c r="X38" i="6" s="1"/>
  <c r="P40" i="6" l="1"/>
  <c r="Q39" i="6"/>
  <c r="T39" i="6" s="1"/>
  <c r="X39" i="6" s="1"/>
  <c r="AC38" i="6"/>
  <c r="AB38" i="6"/>
  <c r="U40" i="6"/>
  <c r="AA39" i="6"/>
  <c r="Z39" i="6"/>
  <c r="AB39" i="6" l="1"/>
  <c r="AC39" i="6"/>
  <c r="AA40" i="6"/>
  <c r="U41" i="6"/>
  <c r="Z40" i="6"/>
  <c r="P41" i="6"/>
  <c r="Q40" i="6"/>
  <c r="T40" i="6" s="1"/>
  <c r="X40" i="6" s="1"/>
  <c r="P42" i="6" l="1"/>
  <c r="Q41" i="6"/>
  <c r="T41" i="6" s="1"/>
  <c r="X41" i="6" s="1"/>
  <c r="U42" i="6"/>
  <c r="AA41" i="6"/>
  <c r="Z41" i="6"/>
  <c r="AC40" i="6"/>
  <c r="AB40" i="6"/>
  <c r="AB41" i="6" l="1"/>
  <c r="AC41" i="6"/>
  <c r="U43" i="6"/>
  <c r="AA42" i="6"/>
  <c r="Z42" i="6"/>
  <c r="Q42" i="6"/>
  <c r="T42" i="6" s="1"/>
  <c r="X42" i="6" s="1"/>
  <c r="P43" i="6"/>
  <c r="Q43" i="6" l="1"/>
  <c r="T43" i="6" s="1"/>
  <c r="X43" i="6" s="1"/>
  <c r="P44" i="6"/>
  <c r="AB42" i="6"/>
  <c r="AC42" i="6"/>
  <c r="Z43" i="6"/>
  <c r="AA43" i="6"/>
  <c r="U44" i="6"/>
  <c r="AC43" i="6" l="1"/>
  <c r="AB43" i="6"/>
  <c r="AA44" i="6"/>
  <c r="Z44" i="6"/>
  <c r="Q44" i="6"/>
  <c r="T44" i="6" s="1"/>
  <c r="X44" i="6" s="1"/>
  <c r="AB44" i="6" l="1"/>
  <c r="AC44" i="6"/>
</calcChain>
</file>

<file path=xl/sharedStrings.xml><?xml version="1.0" encoding="utf-8"?>
<sst xmlns="http://schemas.openxmlformats.org/spreadsheetml/2006/main" count="202" uniqueCount="145">
  <si>
    <t>QUESTION 1 (a) and (c)</t>
  </si>
  <si>
    <t>Responses for parts (b) and (d) are to be provided in the Word document.</t>
  </si>
  <si>
    <t>Responses for part (a) and (c) are to be provided in this tab.</t>
  </si>
  <si>
    <t xml:space="preserve">You are given the following: </t>
  </si>
  <si>
    <t>Values in the period:</t>
  </si>
  <si>
    <t xml:space="preserve">GAAP Basis </t>
  </si>
  <si>
    <t xml:space="preserve">Actual Results </t>
  </si>
  <si>
    <t>Beginning of Period Reserve per policy</t>
  </si>
  <si>
    <t>Gross Premium per policy</t>
  </si>
  <si>
    <t>Net Premium per policy</t>
  </si>
  <si>
    <t>Mortality Rate</t>
  </si>
  <si>
    <t>Investment Interest Rate on Reserves</t>
  </si>
  <si>
    <t>Lapse Rate</t>
  </si>
  <si>
    <t>Maintenance Expense per Policy</t>
  </si>
  <si>
    <t>Assume: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</si>
  <si>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Beginning of Period Policies in Force:  5,000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</si>
  <si>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Policy Death Benefit per policy:  100,000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</si>
  <si>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All premium is collected at the beginning of period.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</si>
  <si>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All deaths and lapses occur at end of period.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</si>
  <si>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There are no surrender benefits.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</si>
  <si>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Expenses are paid at the beginning of the period for policies in-force at the beginning of period.</t>
    </r>
  </si>
  <si>
    <r>
      <t>(a)</t>
    </r>
    <r>
      <rPr>
        <sz val="7"/>
        <color theme="1"/>
        <rFont val="Times New Roman"/>
        <family val="1"/>
      </rPr>
      <t>  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Construct an Analysis in Change in Reserves for the GAAP expectation and actual results.</t>
    </r>
  </si>
  <si>
    <t>ANSWER:</t>
  </si>
  <si>
    <r>
      <t>(c)  (</t>
    </r>
    <r>
      <rPr>
        <i/>
        <sz val="12"/>
        <color theme="1"/>
        <rFont val="Times New Roman"/>
        <family val="1"/>
      </rPr>
      <t>4 points</t>
    </r>
    <r>
      <rPr>
        <sz val="12"/>
        <color theme="1"/>
        <rFont val="Times New Roman"/>
        <family val="1"/>
      </rPr>
      <t>)  Construct a Source of Earnings analysis for the GAAP expectation and actual results.</t>
    </r>
  </si>
  <si>
    <t>QUESTION 4 (c)</t>
  </si>
  <si>
    <t>Responses for parts (a), (b), and (d) are to be provided in the Word document.</t>
  </si>
  <si>
    <t>Responses for part (c) are to be provided in this tab.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</si>
  <si>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Fees of 1.5% of the account value will be deducted from the account balance each year.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</si>
  <si>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present value of the benefits to be paid in excess of the account balance using fair value assumptions:</t>
    </r>
  </si>
  <si>
    <t>GMAB only</t>
  </si>
  <si>
    <t>GMDB only</t>
  </si>
  <si>
    <t>GMAB and GMDB</t>
  </si>
  <si>
    <t>At inception</t>
  </si>
  <si>
    <t>Year 4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</si>
  <si>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present value of fees collected from the account using fair value assumptions:</t>
    </r>
  </si>
  <si>
    <t>PV of fees collected from the account</t>
  </si>
  <si>
    <t>Calculate the following under the non-option method:</t>
  </si>
  <si>
    <r>
      <t>(c)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3 points</t>
    </r>
    <r>
      <rPr>
        <sz val="12"/>
        <color theme="1"/>
        <rFont val="Times New Roman"/>
        <family val="1"/>
      </rPr>
      <t>)  You are given the following information about a variable annuity contract with a GMAB and GMDB rider:</t>
    </r>
  </si>
  <si>
    <t>(ii) The value of the MRB at year 4</t>
  </si>
  <si>
    <r>
      <t>(i)</t>
    </r>
    <r>
      <rPr>
        <sz val="7"/>
        <color theme="1"/>
        <rFont val="Times New Roman"/>
        <family val="1"/>
      </rPr>
      <t>  </t>
    </r>
    <r>
      <rPr>
        <sz val="12"/>
        <color theme="1"/>
        <rFont val="Times New Roman"/>
        <family val="1"/>
      </rPr>
      <t>Annual percentage of the account value that will be attributed to the host as fee revenue</t>
    </r>
  </si>
  <si>
    <t>QUESTION 6 (b)</t>
  </si>
  <si>
    <t>Responses for parts (a) and (c) are to be provided in the Word document.</t>
  </si>
  <si>
    <t>Responses for part (b) are to be provided in this tab.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</si>
  <si>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SPDA does not have surrender charges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</si>
  <si>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MJE has an overall asset duration of 10.5 and liability duration of 9.5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</si>
  <si>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The Authorized Control Level RBC for MJE is 2.0</t>
    </r>
  </si>
  <si>
    <t>AIF</t>
  </si>
  <si>
    <t>MJE</t>
  </si>
  <si>
    <t>Total of All Other Subsidiaries of AIF (Non-US)</t>
  </si>
  <si>
    <t>Total Available Capital</t>
  </si>
  <si>
    <t xml:space="preserve">Minimum Regulatory Capital </t>
  </si>
  <si>
    <t xml:space="preserve">AIF Life is a global insurance group that operates in both the United States and European countries. MJE Life is a US-based subsidiary of AIF that primarily sells </t>
  </si>
  <si>
    <t>Single Premium Deferred Annuity (SPDA) to mid-income households. You are given the following information:</t>
  </si>
  <si>
    <r>
      <t>(b) 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</t>
    </r>
    <r>
      <rPr>
        <i/>
        <sz val="12"/>
        <color theme="1"/>
        <rFont val="Times New Roman"/>
        <family val="1"/>
      </rPr>
      <t xml:space="preserve">  </t>
    </r>
    <r>
      <rPr>
        <sz val="12"/>
        <color theme="1"/>
        <rFont val="Times New Roman"/>
        <family val="1"/>
      </rPr>
      <t>Calculate the Group Capital Ratio for AIF.  Show all work.</t>
    </r>
  </si>
  <si>
    <t>QUESTION 7 (b) and (c)</t>
  </si>
  <si>
    <t>Responses for parts (a), (d), and (e) are to be provided in the Word document.</t>
  </si>
  <si>
    <t>Responses for part (b) and (c) are to be provided in this tab.</t>
  </si>
  <si>
    <t>Company DEF plans to fully adopt ASU 2018-12 by the end of the current year.</t>
  </si>
  <si>
    <t>You are also given the following information for a group of life insurance policies sold by Company DEF in a month:</t>
  </si>
  <si>
    <t>First Year Cashflow</t>
  </si>
  <si>
    <t>Risk-adjusted PV at issue</t>
  </si>
  <si>
    <t>Premium</t>
  </si>
  <si>
    <t>Commission</t>
  </si>
  <si>
    <t>Premium tax</t>
  </si>
  <si>
    <t>Policy underwriting expense</t>
  </si>
  <si>
    <t>Policy service expense</t>
  </si>
  <si>
    <t>Policy benefits</t>
  </si>
  <si>
    <t>Assume risk-adjusted PV are calculated using current assumption at issue.</t>
  </si>
  <si>
    <t>These policies are in the same GAAP cohort / IFRS 17group.</t>
  </si>
  <si>
    <r>
      <t>(b)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Calculate GAAP DAC capitalization at issue.</t>
    </r>
  </si>
  <si>
    <r>
      <t>(c)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 xml:space="preserve">) </t>
    </r>
    <r>
      <rPr>
        <i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Calculate the amount of contractual service margin at issue for this group under IFRS 17.</t>
    </r>
  </si>
  <si>
    <t>QUESTION 9 (b)</t>
  </si>
  <si>
    <t>Responses for part (a) are to be provided in the Word document.</t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</si>
  <si>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Premium paid at beginning of policy year 1:  1,400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</si>
  <si>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Acquisition expenses incurred at beginning of policy year 1:  75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</si>
  <si>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Policy benefits paid at the end of each policy year 1 to 5:  300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</si>
  <si>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Maintenance expenses incurred at the end of each policy year 1 to 5:  15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</si>
  <si>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Investment rate of return in all policy years:  6.50%</t>
    </r>
  </si>
  <si>
    <t>With respect to the Constant Yield Method:</t>
  </si>
  <si>
    <r>
      <t>(b)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6 points</t>
    </r>
    <r>
      <rPr>
        <sz val="12"/>
        <color theme="1"/>
        <rFont val="Times New Roman"/>
        <family val="1"/>
      </rPr>
      <t>)  You are given the following data for a 5-Year certain annuity contract:</t>
    </r>
  </si>
  <si>
    <r>
      <t>(i)</t>
    </r>
    <r>
      <rPr>
        <sz val="7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2 points</t>
    </r>
    <r>
      <rPr>
        <sz val="12"/>
        <color theme="1"/>
        <rFont val="Times New Roman"/>
        <family val="1"/>
      </rPr>
      <t>)  Calculate the discounted interest rate needed to determine the net policy reserves.  (Hint:  Use IRR function in Excel to determine this interest rate.)</t>
    </r>
  </si>
  <si>
    <r>
      <t>(ii) (</t>
    </r>
    <r>
      <rPr>
        <i/>
        <sz val="12"/>
        <color theme="1"/>
        <rFont val="Times New Roman"/>
        <family val="1"/>
      </rPr>
      <t>1 point</t>
    </r>
    <r>
      <rPr>
        <sz val="12"/>
        <color theme="1"/>
        <rFont val="Times New Roman"/>
        <family val="1"/>
      </rPr>
      <t>)  Calculate the GAAP net policy reserves for the end of each policy year 1 through 5.</t>
    </r>
  </si>
  <si>
    <r>
      <rPr>
        <sz val="12"/>
        <color theme="1"/>
        <rFont val="Times New Roman"/>
        <family val="1"/>
      </rPr>
      <t>(iii)</t>
    </r>
    <r>
      <rPr>
        <i/>
        <sz val="12"/>
        <color theme="1"/>
        <rFont val="Times New Roman"/>
        <family val="1"/>
      </rPr>
      <t xml:space="preserve"> (3 points</t>
    </r>
    <r>
      <rPr>
        <sz val="12"/>
        <color theme="1"/>
        <rFont val="Times New Roman"/>
        <family val="1"/>
      </rPr>
      <t xml:space="preserve">)  Determine the GAAP profit for each policy year 1 through 5, assuming actual realized experience match the assumed assumptions. </t>
    </r>
  </si>
  <si>
    <t>QUESTION 10 (a)</t>
  </si>
  <si>
    <t>Responses for part (b) are to be provided in the Word document.</t>
  </si>
  <si>
    <t>Responses for part (a) are to be provided in this tab.</t>
  </si>
  <si>
    <r>
      <t>(a)</t>
    </r>
    <r>
      <rPr>
        <sz val="7"/>
        <color theme="1"/>
        <rFont val="Times New Roman"/>
        <family val="1"/>
      </rPr>
      <t xml:space="preserve">            </t>
    </r>
    <r>
      <rPr>
        <sz val="12"/>
        <color theme="1"/>
        <rFont val="Times New Roman"/>
        <family val="1"/>
      </rPr>
      <t>(</t>
    </r>
    <r>
      <rPr>
        <i/>
        <sz val="12"/>
        <color theme="1"/>
        <rFont val="Times New Roman"/>
        <family val="1"/>
      </rPr>
      <t>10 points</t>
    </r>
    <r>
      <rPr>
        <sz val="12"/>
        <color theme="1"/>
        <rFont val="Times New Roman"/>
        <family val="1"/>
      </rPr>
      <t>)  You are given: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</si>
  <si>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 block of 10-year level-premium, level death benefit term insurance policies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</si>
  <si>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 xml:space="preserve">issued to males aged 55 </t>
    </r>
  </si>
  <si>
    <r>
      <t>·</t>
    </r>
    <r>
      <rPr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All cash flows are assumed to occur at the beginning of each year.</t>
    </r>
  </si>
  <si>
    <r>
      <t>·</t>
    </r>
    <r>
      <rPr>
        <strike/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Valuation assumptions correspond to minimum valuation standards as allowed by the Standard Valuation Law.</t>
    </r>
  </si>
  <si>
    <r>
      <t>·</t>
    </r>
    <r>
      <rPr>
        <strike/>
        <sz val="7"/>
        <color theme="1"/>
        <rFont val="Times New Roman"/>
        <family val="1"/>
      </rPr>
      <t xml:space="preserve">       </t>
    </r>
    <r>
      <rPr>
        <sz val="12"/>
        <color theme="1"/>
        <rFont val="Times New Roman"/>
        <family val="1"/>
      </rPr>
      <t>Experience data and assumptions are provided in the spreadsheet.</t>
    </r>
  </si>
  <si>
    <t>(i) (8 points) Revise the calculations, where necessary, to assure the accurate calculation of pre-PBR CRVM and deficiency reserves.</t>
  </si>
  <si>
    <t>Experience Data and Assumptions</t>
  </si>
  <si>
    <t>Per 1000</t>
  </si>
  <si>
    <t>Valuation</t>
  </si>
  <si>
    <t>Experience</t>
  </si>
  <si>
    <t>Death</t>
  </si>
  <si>
    <t>Beginning of</t>
  </si>
  <si>
    <t>Interest</t>
  </si>
  <si>
    <t>Net Asset</t>
  </si>
  <si>
    <t>Amount of</t>
  </si>
  <si>
    <t>Benefits</t>
  </si>
  <si>
    <t>Mortality</t>
  </si>
  <si>
    <t>Year</t>
  </si>
  <si>
    <t>Premiums</t>
  </si>
  <si>
    <t>Expenses</t>
  </si>
  <si>
    <t>Rate</t>
  </si>
  <si>
    <t>Earned Rate</t>
  </si>
  <si>
    <t>Insurance Inforce</t>
  </si>
  <si>
    <t>Per Unit</t>
  </si>
  <si>
    <t>Annual</t>
  </si>
  <si>
    <t>Per $1000 Inforce</t>
  </si>
  <si>
    <t>Unamortized</t>
  </si>
  <si>
    <t>CRVM</t>
  </si>
  <si>
    <t>Total</t>
  </si>
  <si>
    <t>Gross</t>
  </si>
  <si>
    <t>Basic</t>
  </si>
  <si>
    <t>Adjusted</t>
  </si>
  <si>
    <t>Deficiency</t>
  </si>
  <si>
    <t>Policy</t>
  </si>
  <si>
    <t>Present Value</t>
  </si>
  <si>
    <t>Annuity Due</t>
  </si>
  <si>
    <t>Present Value of</t>
  </si>
  <si>
    <t>Net Level Premium</t>
  </si>
  <si>
    <t>Expense</t>
  </si>
  <si>
    <t>Valuation Net</t>
  </si>
  <si>
    <t>Reserve</t>
  </si>
  <si>
    <t>Basic Reserve</t>
  </si>
  <si>
    <t>v(t)</t>
  </si>
  <si>
    <t>p(x,t)</t>
  </si>
  <si>
    <t>of $1</t>
  </si>
  <si>
    <t>Deaths(t)</t>
  </si>
  <si>
    <t>Premiums(t)</t>
  </si>
  <si>
    <t>of Death Benefits</t>
  </si>
  <si>
    <t>of Premiums</t>
  </si>
  <si>
    <t>Future Death Benefits</t>
  </si>
  <si>
    <t>Reserves</t>
  </si>
  <si>
    <t>Allowance</t>
  </si>
  <si>
    <t>Inforce(t)</t>
  </si>
  <si>
    <t>Per Unit Inforce</t>
  </si>
  <si>
    <t xml:space="preserve">Calculation of CRVM and Deficiency Reserves </t>
  </si>
  <si>
    <t>With respect to the following calculations:</t>
  </si>
  <si>
    <r>
      <t>(ii)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(2 points) Assume the above policies are issued on January 1, 2022. Calculate the Deterministic Reserve as of December 31, 2022 using the Prospective Method.</t>
    </r>
  </si>
  <si>
    <t>Lapse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</si>
</sst>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000_);_(* \(#,##0.0000\);_(* &quot;-&quot;??_);_(@_)"/>
    <numFmt numFmtId="165" formatCode="_(* #,##0.0_);_(* \(#,##0.0\);_(* &quot;-&quot;??_);_(@_)"/>
    <numFmt numFmtId="166" formatCode="_(* #,##0.000_);_(* \(#,##0.000\);_(* &quot;-&quot;??_);_(@_)"/>
    <numFmt numFmtId="167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b/>
      <sz val="14"/>
      <color rgb="FF002060"/>
      <name val="Times New Roman"/>
      <family val="1"/>
    </font>
    <font>
      <b/>
      <sz val="12"/>
      <color rgb="FF002060"/>
      <name val="Times New Roman"/>
      <family val="1"/>
    </font>
    <font>
      <i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Times New Roman"/>
      <family val="1"/>
    </font>
    <font>
      <b/>
      <u/>
      <sz val="12"/>
      <color theme="1"/>
      <name val="Times New Roman"/>
      <family val="1"/>
    </font>
    <font>
      <strike/>
      <sz val="12"/>
      <color theme="1"/>
      <name val="Symbol"/>
      <family val="1"/>
      <charset val="2"/>
    </font>
    <font>
      <strike/>
      <sz val="7"/>
      <color theme="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/>
    <xf numFmtId="0" fontId="0" fillId="2" borderId="0" xfId="0" applyFill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>
      <alignment horizontal="left" vertical="center" indent="4"/>
    </xf>
    <xf numFmtId="0" fontId="4" fillId="2" borderId="0" xfId="0" applyFont="1" applyFill="1" applyAlignment="1">
      <alignment vertical="center"/>
    </xf>
    <xf numFmtId="0" fontId="4" fillId="2" borderId="5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horizontal="right" vertical="center"/>
    </xf>
    <xf numFmtId="10" fontId="4" fillId="2" borderId="6" xfId="0" applyNumberFormat="1" applyFont="1" applyFill="1" applyBorder="1" applyAlignment="1">
      <alignment horizontal="right" vertical="center"/>
    </xf>
    <xf numFmtId="9" fontId="4" fillId="2" borderId="6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indent="7"/>
    </xf>
    <xf numFmtId="0" fontId="4" fillId="2" borderId="0" xfId="0" applyFont="1" applyFill="1" applyAlignment="1">
      <alignment horizontal="left" vertical="center" indent="4"/>
    </xf>
    <xf numFmtId="0" fontId="4" fillId="0" borderId="0" xfId="0" applyFont="1" applyFill="1" applyAlignment="1">
      <alignment horizontal="left" vertical="center"/>
    </xf>
    <xf numFmtId="0" fontId="4" fillId="2" borderId="0" xfId="0" applyFont="1" applyFill="1"/>
    <xf numFmtId="0" fontId="4" fillId="0" borderId="0" xfId="0" applyFont="1" applyAlignment="1">
      <alignment horizontal="left" vertical="center" indent="9"/>
    </xf>
    <xf numFmtId="0" fontId="6" fillId="2" borderId="0" xfId="0" applyFont="1" applyFill="1" applyAlignment="1">
      <alignment horizontal="left" vertical="center" indent="8"/>
    </xf>
    <xf numFmtId="0" fontId="4" fillId="2" borderId="0" xfId="0" applyFont="1" applyFill="1" applyAlignment="1">
      <alignment horizontal="left" vertical="center" indent="12"/>
    </xf>
    <xf numFmtId="0" fontId="4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0" fontId="9" fillId="0" borderId="0" xfId="0" applyFont="1"/>
    <xf numFmtId="0" fontId="4" fillId="2" borderId="1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4" xfId="0" applyFill="1" applyBorder="1"/>
    <xf numFmtId="0" fontId="10" fillId="2" borderId="1" xfId="0" applyFont="1" applyFill="1" applyBorder="1" applyAlignment="1">
      <alignment vertical="center"/>
    </xf>
    <xf numFmtId="0" fontId="10" fillId="2" borderId="4" xfId="0" applyFont="1" applyFill="1" applyBorder="1" applyAlignment="1">
      <alignment horizontal="right" vertical="center"/>
    </xf>
    <xf numFmtId="3" fontId="4" fillId="2" borderId="6" xfId="0" applyNumberFormat="1" applyFont="1" applyFill="1" applyBorder="1" applyAlignment="1">
      <alignment horizontal="right" vertical="center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horizontal="left" vertical="center" indent="2"/>
    </xf>
    <xf numFmtId="0" fontId="6" fillId="2" borderId="0" xfId="0" applyFont="1" applyFill="1" applyAlignment="1">
      <alignment horizontal="left" vertical="center" indent="12"/>
    </xf>
    <xf numFmtId="0" fontId="8" fillId="2" borderId="0" xfId="0" applyFont="1" applyFill="1"/>
    <xf numFmtId="0" fontId="11" fillId="2" borderId="0" xfId="0" applyFont="1" applyFill="1" applyAlignment="1">
      <alignment horizontal="left" vertical="center" indent="12"/>
    </xf>
    <xf numFmtId="0" fontId="13" fillId="2" borderId="0" xfId="0" applyFont="1" applyFill="1"/>
    <xf numFmtId="0" fontId="0" fillId="2" borderId="7" xfId="0" applyFill="1" applyBorder="1" applyAlignment="1">
      <alignment horizontal="center"/>
    </xf>
    <xf numFmtId="3" fontId="0" fillId="2" borderId="7" xfId="0" applyNumberFormat="1" applyFill="1" applyBorder="1" applyAlignment="1">
      <alignment horizontal="center"/>
    </xf>
    <xf numFmtId="10" fontId="0" fillId="2" borderId="7" xfId="0" applyNumberFormat="1" applyFill="1" applyBorder="1" applyAlignment="1">
      <alignment horizontal="center"/>
    </xf>
    <xf numFmtId="4" fontId="0" fillId="2" borderId="7" xfId="0" quotePrefix="1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0" fontId="0" fillId="2" borderId="8" xfId="0" applyFill="1" applyBorder="1"/>
    <xf numFmtId="0" fontId="13" fillId="2" borderId="8" xfId="0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13" fillId="2" borderId="8" xfId="0" applyFont="1" applyFill="1" applyBorder="1"/>
    <xf numFmtId="0" fontId="0" fillId="2" borderId="9" xfId="0" applyFill="1" applyBorder="1"/>
    <xf numFmtId="0" fontId="0" fillId="2" borderId="7" xfId="0" applyFill="1" applyBorder="1"/>
    <xf numFmtId="3" fontId="0" fillId="2" borderId="7" xfId="0" applyNumberFormat="1" applyFill="1" applyBorder="1"/>
    <xf numFmtId="43" fontId="0" fillId="2" borderId="7" xfId="1" applyFont="1" applyFill="1" applyBorder="1"/>
    <xf numFmtId="10" fontId="0" fillId="2" borderId="7" xfId="0" applyNumberFormat="1" applyFill="1" applyBorder="1"/>
    <xf numFmtId="2" fontId="0" fillId="2" borderId="7" xfId="0" applyNumberFormat="1" applyFill="1" applyBorder="1"/>
    <xf numFmtId="164" fontId="0" fillId="2" borderId="7" xfId="1" applyNumberFormat="1" applyFont="1" applyFill="1" applyBorder="1"/>
    <xf numFmtId="164" fontId="13" fillId="2" borderId="7" xfId="1" applyNumberFormat="1" applyFont="1" applyFill="1" applyBorder="1"/>
    <xf numFmtId="165" fontId="0" fillId="2" borderId="7" xfId="1" applyNumberFormat="1" applyFont="1" applyFill="1" applyBorder="1"/>
    <xf numFmtId="43" fontId="0" fillId="2" borderId="7" xfId="1" applyNumberFormat="1" applyFont="1" applyFill="1" applyBorder="1"/>
    <xf numFmtId="166" fontId="0" fillId="2" borderId="7" xfId="1" applyNumberFormat="1" applyFont="1" applyFill="1" applyBorder="1"/>
    <xf numFmtId="167" fontId="0" fillId="2" borderId="7" xfId="1" applyNumberFormat="1" applyFont="1" applyFill="1" applyBorder="1"/>
    <xf numFmtId="10" fontId="0" fillId="2" borderId="7" xfId="2" quotePrefix="1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</cellXfs>
  <cellStyles count="3">
    <cellStyle name="Comma 3" xfId="1" xr:uid="{74116A01-C460-4777-9013-D438DFFD2229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4CD14-C1D7-4CB8-B92B-81E6E6756D94}">
  <dimension ref="A1:J42"/>
  <sheetViews>
    <sheetView tabSelected="1" workbookViewId="0"/>
  </sheetViews>
  <sheetFormatPr defaultRowHeight="15" x14ac:dyDescent="0.25"/>
  <cols>
    <col min="1" max="1" width="37.140625" customWidth="1"/>
    <col min="2" max="2" width="16.28515625" customWidth="1"/>
    <col min="3" max="3" width="15.85546875" customWidth="1"/>
  </cols>
  <sheetData>
    <row r="1" spans="1:10" s="2" customFormat="1" ht="18.75" x14ac:dyDescent="0.3">
      <c r="A1" s="1" t="s">
        <v>0</v>
      </c>
    </row>
    <row r="2" spans="1:10" s="2" customFormat="1" ht="15.75" x14ac:dyDescent="0.25">
      <c r="A2" s="3" t="s">
        <v>1</v>
      </c>
    </row>
    <row r="3" spans="1:10" s="2" customFormat="1" ht="15.75" x14ac:dyDescent="0.25">
      <c r="A3" s="3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s="2" customFormat="1" ht="15.75" x14ac:dyDescent="0.25">
      <c r="A4" s="7" t="s">
        <v>3</v>
      </c>
    </row>
    <row r="5" spans="1:10" s="2" customFormat="1" ht="16.5" thickBot="1" x14ac:dyDescent="0.3">
      <c r="A5" s="7"/>
    </row>
    <row r="6" spans="1:10" s="2" customFormat="1" ht="16.5" thickBot="1" x14ac:dyDescent="0.3">
      <c r="A6" s="65" t="s">
        <v>4</v>
      </c>
      <c r="B6" s="66"/>
      <c r="C6" s="67"/>
    </row>
    <row r="7" spans="1:10" s="2" customFormat="1" ht="16.5" thickBot="1" x14ac:dyDescent="0.3">
      <c r="A7" s="8"/>
      <c r="B7" s="9" t="s">
        <v>5</v>
      </c>
      <c r="C7" s="9" t="s">
        <v>6</v>
      </c>
    </row>
    <row r="8" spans="1:10" s="2" customFormat="1" ht="16.5" thickBot="1" x14ac:dyDescent="0.3">
      <c r="A8" s="8" t="s">
        <v>7</v>
      </c>
      <c r="B8" s="10">
        <v>100</v>
      </c>
      <c r="C8" s="10">
        <v>100</v>
      </c>
    </row>
    <row r="9" spans="1:10" s="2" customFormat="1" ht="16.5" thickBot="1" x14ac:dyDescent="0.3">
      <c r="A9" s="8" t="s">
        <v>8</v>
      </c>
      <c r="B9" s="10">
        <v>325</v>
      </c>
      <c r="C9" s="10">
        <v>325</v>
      </c>
    </row>
    <row r="10" spans="1:10" s="2" customFormat="1" ht="16.5" thickBot="1" x14ac:dyDescent="0.3">
      <c r="A10" s="8" t="s">
        <v>9</v>
      </c>
      <c r="B10" s="10">
        <v>300</v>
      </c>
      <c r="C10" s="10">
        <v>300</v>
      </c>
    </row>
    <row r="11" spans="1:10" s="2" customFormat="1" ht="16.5" thickBot="1" x14ac:dyDescent="0.3">
      <c r="A11" s="8" t="s">
        <v>10</v>
      </c>
      <c r="B11" s="10">
        <v>2E-3</v>
      </c>
      <c r="C11" s="10">
        <v>3.0000000000000001E-3</v>
      </c>
    </row>
    <row r="12" spans="1:10" s="2" customFormat="1" ht="16.5" thickBot="1" x14ac:dyDescent="0.3">
      <c r="A12" s="8" t="s">
        <v>11</v>
      </c>
      <c r="B12" s="11">
        <v>0.04</v>
      </c>
      <c r="C12" s="11">
        <v>4.2500000000000003E-2</v>
      </c>
    </row>
    <row r="13" spans="1:10" s="2" customFormat="1" ht="16.5" thickBot="1" x14ac:dyDescent="0.3">
      <c r="A13" s="8" t="s">
        <v>12</v>
      </c>
      <c r="B13" s="12">
        <v>0.02</v>
      </c>
      <c r="C13" s="12">
        <v>0</v>
      </c>
    </row>
    <row r="14" spans="1:10" s="2" customFormat="1" ht="16.5" thickBot="1" x14ac:dyDescent="0.3">
      <c r="A14" s="8" t="s">
        <v>13</v>
      </c>
      <c r="B14" s="10">
        <v>15</v>
      </c>
      <c r="C14" s="10">
        <v>8</v>
      </c>
    </row>
    <row r="15" spans="1:10" s="2" customFormat="1" ht="15.75" x14ac:dyDescent="0.25">
      <c r="A15" s="7"/>
    </row>
    <row r="16" spans="1:10" s="2" customFormat="1" ht="15.75" x14ac:dyDescent="0.25">
      <c r="A16" s="7" t="s">
        <v>14</v>
      </c>
    </row>
    <row r="17" spans="1:1" s="2" customFormat="1" ht="15.75" x14ac:dyDescent="0.25">
      <c r="A17" s="7"/>
    </row>
    <row r="18" spans="1:1" s="2" customFormat="1" ht="15.75" x14ac:dyDescent="0.25">
      <c r="A18" s="13" t="s">
        <v>15</v>
      </c>
    </row>
    <row r="19" spans="1:1" s="2" customFormat="1" ht="15.75" x14ac:dyDescent="0.25">
      <c r="A19" s="13" t="s">
        <v>16</v>
      </c>
    </row>
    <row r="20" spans="1:1" s="2" customFormat="1" ht="15.75" x14ac:dyDescent="0.25">
      <c r="A20" s="13" t="s">
        <v>17</v>
      </c>
    </row>
    <row r="21" spans="1:1" s="2" customFormat="1" ht="15.75" x14ac:dyDescent="0.25">
      <c r="A21" s="13" t="s">
        <v>18</v>
      </c>
    </row>
    <row r="22" spans="1:1" s="2" customFormat="1" ht="15.75" x14ac:dyDescent="0.25">
      <c r="A22" s="13" t="s">
        <v>19</v>
      </c>
    </row>
    <row r="23" spans="1:1" s="2" customFormat="1" ht="15.75" x14ac:dyDescent="0.25">
      <c r="A23" s="13" t="s">
        <v>20</v>
      </c>
    </row>
    <row r="24" spans="1:1" s="2" customFormat="1" x14ac:dyDescent="0.25"/>
    <row r="25" spans="1:1" s="2" customFormat="1" ht="15.75" x14ac:dyDescent="0.25">
      <c r="A25" s="14" t="s">
        <v>21</v>
      </c>
    </row>
    <row r="26" spans="1:1" ht="15.75" x14ac:dyDescent="0.25">
      <c r="A26" s="15" t="s">
        <v>22</v>
      </c>
    </row>
    <row r="41" spans="1:1" s="2" customFormat="1" ht="15.75" x14ac:dyDescent="0.25">
      <c r="A41" s="16" t="s">
        <v>23</v>
      </c>
    </row>
    <row r="42" spans="1:1" ht="15.75" x14ac:dyDescent="0.25">
      <c r="A42" s="15" t="s">
        <v>22</v>
      </c>
    </row>
  </sheetData>
  <mergeCells count="1">
    <mergeCell ref="A6: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F1CE4-1AC9-4008-813B-C2CD861DEFA0}">
  <dimension ref="A1:J28"/>
  <sheetViews>
    <sheetView workbookViewId="0">
      <selection sqref="A1:XFD3"/>
    </sheetView>
  </sheetViews>
  <sheetFormatPr defaultRowHeight="15" x14ac:dyDescent="0.25"/>
  <cols>
    <col min="1" max="1" width="12.5703125" customWidth="1"/>
    <col min="2" max="2" width="14.42578125" customWidth="1"/>
    <col min="3" max="3" width="12.5703125" customWidth="1"/>
  </cols>
  <sheetData>
    <row r="1" spans="1:10" s="2" customFormat="1" ht="18.75" x14ac:dyDescent="0.3">
      <c r="A1" s="1" t="s">
        <v>24</v>
      </c>
    </row>
    <row r="2" spans="1:10" s="2" customFormat="1" ht="15.75" x14ac:dyDescent="0.25">
      <c r="A2" s="3" t="s">
        <v>25</v>
      </c>
    </row>
    <row r="3" spans="1:10" s="2" customFormat="1" ht="15.75" x14ac:dyDescent="0.25">
      <c r="A3" s="3" t="s">
        <v>26</v>
      </c>
      <c r="B3" s="4"/>
      <c r="C3" s="4"/>
      <c r="D3" s="4"/>
      <c r="E3" s="4"/>
      <c r="F3" s="4"/>
      <c r="G3" s="4"/>
      <c r="H3" s="4"/>
      <c r="I3" s="4"/>
      <c r="J3" s="4"/>
    </row>
    <row r="4" spans="1:10" s="2" customFormat="1" ht="15.75" x14ac:dyDescent="0.25">
      <c r="A4" s="14" t="s">
        <v>37</v>
      </c>
    </row>
    <row r="5" spans="1:10" s="2" customFormat="1" ht="15.75" x14ac:dyDescent="0.25">
      <c r="A5" s="14"/>
    </row>
    <row r="6" spans="1:10" s="2" customFormat="1" ht="15.75" x14ac:dyDescent="0.25">
      <c r="A6" s="18" t="s">
        <v>27</v>
      </c>
    </row>
    <row r="7" spans="1:10" s="2" customFormat="1" ht="15.75" x14ac:dyDescent="0.25">
      <c r="A7" s="18" t="s">
        <v>28</v>
      </c>
    </row>
    <row r="8" spans="1:10" s="2" customFormat="1" ht="16.5" thickBot="1" x14ac:dyDescent="0.3">
      <c r="A8" s="19"/>
    </row>
    <row r="9" spans="1:10" s="2" customFormat="1" ht="48" thickBot="1" x14ac:dyDescent="0.3">
      <c r="A9" s="20"/>
      <c r="B9" s="21" t="s">
        <v>29</v>
      </c>
      <c r="C9" s="21" t="s">
        <v>30</v>
      </c>
      <c r="D9" s="21" t="s">
        <v>31</v>
      </c>
    </row>
    <row r="10" spans="1:10" s="2" customFormat="1" ht="28.5" customHeight="1" thickBot="1" x14ac:dyDescent="0.3">
      <c r="A10" s="22" t="s">
        <v>32</v>
      </c>
      <c r="B10" s="23">
        <v>4000</v>
      </c>
      <c r="C10" s="23">
        <v>1000</v>
      </c>
      <c r="D10" s="23">
        <v>4500</v>
      </c>
    </row>
    <row r="11" spans="1:10" s="2" customFormat="1" ht="16.5" thickBot="1" x14ac:dyDescent="0.3">
      <c r="A11" s="22" t="s">
        <v>33</v>
      </c>
      <c r="B11" s="23">
        <v>5000</v>
      </c>
      <c r="C11" s="23">
        <v>2000</v>
      </c>
      <c r="D11" s="23">
        <v>6000</v>
      </c>
    </row>
    <row r="12" spans="1:10" s="2" customFormat="1" ht="15.75" x14ac:dyDescent="0.25">
      <c r="A12" s="19"/>
    </row>
    <row r="13" spans="1:10" s="2" customFormat="1" ht="15.75" x14ac:dyDescent="0.25">
      <c r="A13" s="18" t="s">
        <v>34</v>
      </c>
    </row>
    <row r="14" spans="1:10" s="2" customFormat="1" ht="16.5" thickBot="1" x14ac:dyDescent="0.3">
      <c r="A14" s="19"/>
    </row>
    <row r="15" spans="1:10" s="2" customFormat="1" ht="53.1" customHeight="1" thickBot="1" x14ac:dyDescent="0.3">
      <c r="A15" s="20"/>
      <c r="B15" s="21" t="s">
        <v>35</v>
      </c>
    </row>
    <row r="16" spans="1:10" s="2" customFormat="1" ht="26.1" customHeight="1" thickBot="1" x14ac:dyDescent="0.3">
      <c r="A16" s="22" t="s">
        <v>32</v>
      </c>
      <c r="B16" s="23">
        <v>15000</v>
      </c>
    </row>
    <row r="17" spans="1:2" s="2" customFormat="1" ht="16.5" thickBot="1" x14ac:dyDescent="0.3">
      <c r="A17" s="22" t="s">
        <v>33</v>
      </c>
      <c r="B17" s="23">
        <v>10000</v>
      </c>
    </row>
    <row r="18" spans="1:2" s="2" customFormat="1" ht="15.75" x14ac:dyDescent="0.25">
      <c r="A18" s="14"/>
    </row>
    <row r="19" spans="1:2" s="2" customFormat="1" ht="15.75" x14ac:dyDescent="0.25">
      <c r="A19" s="24" t="s">
        <v>36</v>
      </c>
    </row>
    <row r="20" spans="1:2" s="2" customFormat="1" ht="15.75" x14ac:dyDescent="0.25">
      <c r="A20" s="24" t="s">
        <v>39</v>
      </c>
    </row>
    <row r="21" spans="1:2" ht="15.75" x14ac:dyDescent="0.25">
      <c r="A21" s="5" t="s">
        <v>22</v>
      </c>
    </row>
    <row r="22" spans="1:2" ht="15.75" x14ac:dyDescent="0.25">
      <c r="A22" s="17"/>
    </row>
    <row r="23" spans="1:2" ht="15.75" x14ac:dyDescent="0.25">
      <c r="A23" s="17"/>
    </row>
    <row r="24" spans="1:2" ht="15.75" x14ac:dyDescent="0.25">
      <c r="A24" s="17"/>
    </row>
    <row r="25" spans="1:2" ht="15.75" x14ac:dyDescent="0.25">
      <c r="A25" s="17"/>
    </row>
    <row r="26" spans="1:2" ht="15.75" x14ac:dyDescent="0.25">
      <c r="A26" s="17"/>
    </row>
    <row r="27" spans="1:2" s="2" customFormat="1" ht="15.75" x14ac:dyDescent="0.25">
      <c r="A27" s="16" t="s">
        <v>38</v>
      </c>
    </row>
    <row r="28" spans="1:2" ht="15.75" x14ac:dyDescent="0.25">
      <c r="A28" s="5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EFE9-BE4A-44EF-BDA7-6E80F9947A72}">
  <dimension ref="A1:J16"/>
  <sheetViews>
    <sheetView workbookViewId="0">
      <selection sqref="A1:XFD3"/>
    </sheetView>
  </sheetViews>
  <sheetFormatPr defaultRowHeight="15" x14ac:dyDescent="0.25"/>
  <cols>
    <col min="1" max="1" width="31.7109375" customWidth="1"/>
    <col min="4" max="4" width="28.28515625" customWidth="1"/>
  </cols>
  <sheetData>
    <row r="1" spans="1:10" s="2" customFormat="1" ht="18.75" x14ac:dyDescent="0.3">
      <c r="A1" s="1" t="s">
        <v>40</v>
      </c>
    </row>
    <row r="2" spans="1:10" s="2" customFormat="1" ht="15.75" x14ac:dyDescent="0.25">
      <c r="A2" s="3" t="s">
        <v>41</v>
      </c>
    </row>
    <row r="3" spans="1:10" s="2" customFormat="1" ht="15.75" x14ac:dyDescent="0.25">
      <c r="A3" s="3" t="s">
        <v>42</v>
      </c>
      <c r="B3" s="4"/>
      <c r="C3" s="4"/>
      <c r="D3" s="4"/>
      <c r="E3" s="4"/>
      <c r="F3" s="4"/>
      <c r="G3" s="4"/>
      <c r="H3" s="4"/>
      <c r="I3" s="4"/>
      <c r="J3" s="4"/>
    </row>
    <row r="4" spans="1:10" s="2" customFormat="1" ht="15.75" x14ac:dyDescent="0.25">
      <c r="A4" s="7" t="s">
        <v>51</v>
      </c>
    </row>
    <row r="5" spans="1:10" s="2" customFormat="1" ht="15.75" x14ac:dyDescent="0.25">
      <c r="A5" s="7" t="s">
        <v>52</v>
      </c>
    </row>
    <row r="6" spans="1:10" s="2" customFormat="1" ht="15.75" x14ac:dyDescent="0.25">
      <c r="A6" s="7"/>
    </row>
    <row r="7" spans="1:10" s="2" customFormat="1" ht="15.75" x14ac:dyDescent="0.25">
      <c r="A7" s="13" t="s">
        <v>43</v>
      </c>
    </row>
    <row r="8" spans="1:10" s="2" customFormat="1" ht="15.75" x14ac:dyDescent="0.25">
      <c r="A8" s="13" t="s">
        <v>44</v>
      </c>
    </row>
    <row r="9" spans="1:10" s="2" customFormat="1" ht="15.75" x14ac:dyDescent="0.25">
      <c r="A9" s="13" t="s">
        <v>45</v>
      </c>
    </row>
    <row r="10" spans="1:10" s="2" customFormat="1" ht="16.5" thickBot="1" x14ac:dyDescent="0.3">
      <c r="A10" s="7"/>
    </row>
    <row r="11" spans="1:10" s="2" customFormat="1" ht="47.45" customHeight="1" thickBot="1" x14ac:dyDescent="0.3">
      <c r="A11" s="26"/>
      <c r="B11" s="21" t="s">
        <v>46</v>
      </c>
      <c r="C11" s="21" t="s">
        <v>47</v>
      </c>
      <c r="D11" s="21" t="s">
        <v>48</v>
      </c>
    </row>
    <row r="12" spans="1:10" s="2" customFormat="1" ht="21.95" customHeight="1" thickBot="1" x14ac:dyDescent="0.3">
      <c r="A12" s="27" t="s">
        <v>49</v>
      </c>
      <c r="B12" s="28">
        <v>20</v>
      </c>
      <c r="C12" s="28">
        <v>5</v>
      </c>
      <c r="D12" s="28">
        <v>15</v>
      </c>
    </row>
    <row r="13" spans="1:10" s="2" customFormat="1" ht="23.45" customHeight="1" thickBot="1" x14ac:dyDescent="0.3">
      <c r="A13" s="27" t="s">
        <v>50</v>
      </c>
      <c r="B13" s="28">
        <v>6</v>
      </c>
      <c r="C13" s="28">
        <v>2</v>
      </c>
      <c r="D13" s="28">
        <v>3</v>
      </c>
    </row>
    <row r="14" spans="1:10" s="2" customFormat="1" x14ac:dyDescent="0.25"/>
    <row r="15" spans="1:10" s="2" customFormat="1" ht="15.75" x14ac:dyDescent="0.25">
      <c r="A15" s="16" t="s">
        <v>53</v>
      </c>
    </row>
    <row r="16" spans="1:10" x14ac:dyDescent="0.25">
      <c r="A16" s="25" t="s">
        <v>22</v>
      </c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83594-5FE0-401F-8764-CE5E665C4D09}">
  <dimension ref="A1:J30"/>
  <sheetViews>
    <sheetView workbookViewId="0"/>
  </sheetViews>
  <sheetFormatPr defaultRowHeight="15" x14ac:dyDescent="0.25"/>
  <cols>
    <col min="1" max="1" width="17.5703125" customWidth="1"/>
    <col min="2" max="2" width="16.140625" customWidth="1"/>
    <col min="3" max="3" width="21.42578125" customWidth="1"/>
    <col min="4" max="4" width="26.5703125" customWidth="1"/>
  </cols>
  <sheetData>
    <row r="1" spans="1:10" s="2" customFormat="1" ht="18.75" x14ac:dyDescent="0.3">
      <c r="A1" s="1" t="s">
        <v>54</v>
      </c>
    </row>
    <row r="2" spans="1:10" s="2" customFormat="1" ht="15.75" x14ac:dyDescent="0.25">
      <c r="A2" s="3" t="s">
        <v>55</v>
      </c>
    </row>
    <row r="3" spans="1:10" s="2" customFormat="1" ht="15.75" x14ac:dyDescent="0.25">
      <c r="A3" s="3" t="s">
        <v>56</v>
      </c>
      <c r="B3" s="4"/>
      <c r="C3" s="4"/>
      <c r="D3" s="4"/>
      <c r="E3" s="4"/>
      <c r="F3" s="4"/>
      <c r="G3" s="4"/>
      <c r="H3" s="4"/>
      <c r="I3" s="4"/>
      <c r="J3" s="4"/>
    </row>
    <row r="4" spans="1:10" s="2" customFormat="1" ht="15.75" x14ac:dyDescent="0.25">
      <c r="A4" s="7" t="s">
        <v>57</v>
      </c>
    </row>
    <row r="5" spans="1:10" s="2" customFormat="1" ht="15.75" x14ac:dyDescent="0.25">
      <c r="A5" s="7" t="s">
        <v>58</v>
      </c>
    </row>
    <row r="6" spans="1:10" s="2" customFormat="1" ht="16.5" thickBot="1" x14ac:dyDescent="0.3">
      <c r="A6" s="7"/>
    </row>
    <row r="7" spans="1:10" s="2" customFormat="1" ht="15" customHeight="1" thickBot="1" x14ac:dyDescent="0.3">
      <c r="A7" s="29"/>
      <c r="B7" s="30"/>
      <c r="C7" s="31" t="s">
        <v>59</v>
      </c>
      <c r="D7" s="32" t="s">
        <v>60</v>
      </c>
    </row>
    <row r="8" spans="1:10" s="2" customFormat="1" ht="16.5" thickBot="1" x14ac:dyDescent="0.3">
      <c r="A8" s="68" t="s">
        <v>61</v>
      </c>
      <c r="B8" s="69"/>
      <c r="C8" s="33">
        <v>28000</v>
      </c>
      <c r="D8" s="33">
        <v>249000</v>
      </c>
    </row>
    <row r="9" spans="1:10" s="2" customFormat="1" ht="16.5" thickBot="1" x14ac:dyDescent="0.3">
      <c r="A9" s="68" t="s">
        <v>62</v>
      </c>
      <c r="B9" s="69"/>
      <c r="C9" s="33">
        <v>28000</v>
      </c>
      <c r="D9" s="33">
        <v>28000</v>
      </c>
    </row>
    <row r="10" spans="1:10" s="2" customFormat="1" ht="16.5" thickBot="1" x14ac:dyDescent="0.3">
      <c r="A10" s="68" t="s">
        <v>63</v>
      </c>
      <c r="B10" s="69"/>
      <c r="C10" s="10">
        <v>560</v>
      </c>
      <c r="D10" s="33">
        <v>4980</v>
      </c>
    </row>
    <row r="11" spans="1:10" s="2" customFormat="1" ht="16.5" thickBot="1" x14ac:dyDescent="0.3">
      <c r="A11" s="68" t="s">
        <v>64</v>
      </c>
      <c r="B11" s="69"/>
      <c r="C11" s="33">
        <v>8000</v>
      </c>
      <c r="D11" s="33">
        <v>8000</v>
      </c>
    </row>
    <row r="12" spans="1:10" s="2" customFormat="1" ht="16.5" thickBot="1" x14ac:dyDescent="0.3">
      <c r="A12" s="68" t="s">
        <v>65</v>
      </c>
      <c r="B12" s="69"/>
      <c r="C12" s="33">
        <v>1000</v>
      </c>
      <c r="D12" s="33">
        <v>18550</v>
      </c>
    </row>
    <row r="13" spans="1:10" s="2" customFormat="1" ht="16.5" thickBot="1" x14ac:dyDescent="0.3">
      <c r="A13" s="68" t="s">
        <v>66</v>
      </c>
      <c r="B13" s="69"/>
      <c r="C13" s="33">
        <v>1030</v>
      </c>
      <c r="D13" s="33">
        <v>187000</v>
      </c>
    </row>
    <row r="14" spans="1:10" s="2" customFormat="1" x14ac:dyDescent="0.25">
      <c r="A14" s="34"/>
      <c r="B14" s="34"/>
      <c r="C14" s="34"/>
      <c r="D14" s="34"/>
    </row>
    <row r="15" spans="1:10" s="2" customFormat="1" ht="15.75" x14ac:dyDescent="0.25">
      <c r="A15" s="7" t="s">
        <v>67</v>
      </c>
    </row>
    <row r="16" spans="1:10" s="2" customFormat="1" ht="15.75" x14ac:dyDescent="0.25">
      <c r="A16" s="7"/>
    </row>
    <row r="17" spans="1:1" s="2" customFormat="1" ht="15.75" x14ac:dyDescent="0.25">
      <c r="A17" s="7" t="s">
        <v>68</v>
      </c>
    </row>
    <row r="18" spans="1:1" s="2" customFormat="1" ht="15.75" x14ac:dyDescent="0.25">
      <c r="A18" s="35" t="s">
        <v>69</v>
      </c>
    </row>
    <row r="19" spans="1:1" ht="15.75" x14ac:dyDescent="0.25">
      <c r="A19" s="5" t="s">
        <v>22</v>
      </c>
    </row>
    <row r="20" spans="1:1" ht="15.75" x14ac:dyDescent="0.25">
      <c r="A20" s="5"/>
    </row>
    <row r="21" spans="1:1" ht="15.75" x14ac:dyDescent="0.25">
      <c r="A21" s="5"/>
    </row>
    <row r="22" spans="1:1" ht="15.75" x14ac:dyDescent="0.25">
      <c r="A22" s="5"/>
    </row>
    <row r="23" spans="1:1" ht="15.75" x14ac:dyDescent="0.25">
      <c r="A23" s="5"/>
    </row>
    <row r="24" spans="1:1" ht="15.75" x14ac:dyDescent="0.25">
      <c r="A24" s="5"/>
    </row>
    <row r="25" spans="1:1" ht="15.75" x14ac:dyDescent="0.25">
      <c r="A25" s="5"/>
    </row>
    <row r="26" spans="1:1" ht="15.75" x14ac:dyDescent="0.25">
      <c r="A26" s="5"/>
    </row>
    <row r="27" spans="1:1" ht="15.75" x14ac:dyDescent="0.25">
      <c r="A27" s="5"/>
    </row>
    <row r="28" spans="1:1" ht="15.75" x14ac:dyDescent="0.25">
      <c r="A28" s="6"/>
    </row>
    <row r="29" spans="1:1" s="2" customFormat="1" ht="15.75" x14ac:dyDescent="0.25">
      <c r="A29" s="35" t="s">
        <v>70</v>
      </c>
    </row>
    <row r="30" spans="1:1" ht="15.75" x14ac:dyDescent="0.25">
      <c r="A30" s="5" t="s">
        <v>22</v>
      </c>
    </row>
  </sheetData>
  <mergeCells count="6">
    <mergeCell ref="A13:B13"/>
    <mergeCell ref="A8:B8"/>
    <mergeCell ref="A9:B9"/>
    <mergeCell ref="A10:B10"/>
    <mergeCell ref="A11:B11"/>
    <mergeCell ref="A12:B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391EB-5AA7-4CBC-BEBA-9BA543CCBE7C}">
  <dimension ref="A1:J42"/>
  <sheetViews>
    <sheetView workbookViewId="0">
      <selection sqref="A1:XFD3"/>
    </sheetView>
  </sheetViews>
  <sheetFormatPr defaultRowHeight="15" x14ac:dyDescent="0.25"/>
  <cols>
    <col min="1" max="1" width="9.7109375" customWidth="1"/>
  </cols>
  <sheetData>
    <row r="1" spans="1:10" s="2" customFormat="1" ht="18.75" x14ac:dyDescent="0.3">
      <c r="A1" s="1" t="s">
        <v>71</v>
      </c>
    </row>
    <row r="2" spans="1:10" s="2" customFormat="1" ht="15.75" x14ac:dyDescent="0.25">
      <c r="A2" s="3" t="s">
        <v>72</v>
      </c>
    </row>
    <row r="3" spans="1:10" s="2" customFormat="1" ht="15.75" x14ac:dyDescent="0.25">
      <c r="A3" s="3" t="s">
        <v>42</v>
      </c>
      <c r="B3" s="4"/>
      <c r="C3" s="4"/>
      <c r="D3" s="4"/>
      <c r="E3" s="4"/>
      <c r="F3" s="4"/>
      <c r="G3" s="4"/>
      <c r="H3" s="4"/>
      <c r="I3" s="4"/>
      <c r="J3" s="4"/>
    </row>
    <row r="4" spans="1:10" s="2" customFormat="1" ht="15.75" x14ac:dyDescent="0.25">
      <c r="A4" s="14" t="s">
        <v>79</v>
      </c>
    </row>
    <row r="5" spans="1:10" s="2" customFormat="1" ht="15.75" x14ac:dyDescent="0.25">
      <c r="A5" s="36" t="s">
        <v>73</v>
      </c>
    </row>
    <row r="6" spans="1:10" s="2" customFormat="1" ht="15.75" x14ac:dyDescent="0.25">
      <c r="A6" s="36" t="s">
        <v>74</v>
      </c>
    </row>
    <row r="7" spans="1:10" s="2" customFormat="1" ht="15.75" x14ac:dyDescent="0.25">
      <c r="A7" s="36" t="s">
        <v>75</v>
      </c>
    </row>
    <row r="8" spans="1:10" s="2" customFormat="1" ht="15.75" x14ac:dyDescent="0.25">
      <c r="A8" s="36" t="s">
        <v>76</v>
      </c>
    </row>
    <row r="9" spans="1:10" s="2" customFormat="1" ht="15.75" x14ac:dyDescent="0.25">
      <c r="A9" s="36" t="s">
        <v>77</v>
      </c>
    </row>
    <row r="10" spans="1:10" s="2" customFormat="1" x14ac:dyDescent="0.25"/>
    <row r="11" spans="1:10" s="2" customFormat="1" ht="15.75" x14ac:dyDescent="0.25">
      <c r="A11" s="7" t="s">
        <v>78</v>
      </c>
    </row>
    <row r="12" spans="1:10" s="2" customFormat="1" x14ac:dyDescent="0.25"/>
    <row r="13" spans="1:10" s="2" customFormat="1" ht="15.75" x14ac:dyDescent="0.25">
      <c r="A13" s="24" t="s">
        <v>80</v>
      </c>
    </row>
    <row r="14" spans="1:10" x14ac:dyDescent="0.25">
      <c r="A14" s="25" t="s">
        <v>22</v>
      </c>
    </row>
    <row r="27" spans="1:1" s="2" customFormat="1" ht="15.75" x14ac:dyDescent="0.25">
      <c r="A27" s="16" t="s">
        <v>81</v>
      </c>
    </row>
    <row r="28" spans="1:1" x14ac:dyDescent="0.25">
      <c r="A28" s="25" t="s">
        <v>22</v>
      </c>
    </row>
    <row r="41" spans="1:1" s="2" customFormat="1" ht="15.75" x14ac:dyDescent="0.25">
      <c r="A41" s="37" t="s">
        <v>82</v>
      </c>
    </row>
    <row r="42" spans="1:1" x14ac:dyDescent="0.25">
      <c r="A42" s="25" t="s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F6677-2993-47A4-9BE7-677B048A9236}">
  <dimension ref="A1:AC63"/>
  <sheetViews>
    <sheetView workbookViewId="0"/>
  </sheetViews>
  <sheetFormatPr defaultRowHeight="15" x14ac:dyDescent="0.25"/>
  <cols>
    <col min="1" max="1" width="11.42578125" customWidth="1"/>
    <col min="6" max="6" width="13.5703125" customWidth="1"/>
    <col min="7" max="7" width="14.5703125" customWidth="1"/>
    <col min="8" max="8" width="12.28515625" customWidth="1"/>
    <col min="9" max="9" width="11.42578125" customWidth="1"/>
    <col min="10" max="10" width="10.140625" customWidth="1"/>
    <col min="11" max="11" width="11" customWidth="1"/>
    <col min="12" max="12" width="18.42578125" customWidth="1"/>
    <col min="13" max="13" width="16.28515625" customWidth="1"/>
    <col min="14" max="14" width="18" customWidth="1"/>
    <col min="15" max="15" width="12.42578125" customWidth="1"/>
    <col min="16" max="16" width="14.85546875" customWidth="1"/>
    <col min="17" max="17" width="16.5703125" customWidth="1"/>
    <col min="18" max="18" width="11.85546875" customWidth="1"/>
    <col min="19" max="19" width="13.85546875" customWidth="1"/>
    <col min="20" max="20" width="17.5703125" customWidth="1"/>
    <col min="21" max="21" width="15.7109375" customWidth="1"/>
    <col min="22" max="22" width="11.140625" customWidth="1"/>
    <col min="23" max="23" width="11.5703125" bestFit="1" customWidth="1"/>
    <col min="24" max="24" width="12.85546875" customWidth="1"/>
    <col min="25" max="25" width="14.7109375" customWidth="1"/>
    <col min="26" max="26" width="16.42578125" customWidth="1"/>
    <col min="27" max="27" width="15.85546875" customWidth="1"/>
    <col min="28" max="28" width="14.85546875" customWidth="1"/>
    <col min="29" max="29" width="12" customWidth="1"/>
  </cols>
  <sheetData>
    <row r="1" spans="1:11" s="2" customFormat="1" ht="18.75" x14ac:dyDescent="0.3">
      <c r="A1" s="1" t="s">
        <v>83</v>
      </c>
    </row>
    <row r="2" spans="1:11" s="2" customFormat="1" ht="15.75" x14ac:dyDescent="0.25">
      <c r="A2" s="3" t="s">
        <v>84</v>
      </c>
    </row>
    <row r="3" spans="1:11" s="2" customFormat="1" ht="15.75" x14ac:dyDescent="0.25">
      <c r="A3" s="3" t="s">
        <v>85</v>
      </c>
      <c r="B3" s="4"/>
      <c r="C3" s="4"/>
      <c r="D3" s="4"/>
      <c r="E3" s="4"/>
      <c r="F3" s="4"/>
      <c r="G3" s="4"/>
      <c r="H3" s="4"/>
      <c r="I3" s="4"/>
      <c r="J3" s="4"/>
    </row>
    <row r="4" spans="1:11" s="2" customFormat="1" ht="15.75" x14ac:dyDescent="0.25">
      <c r="A4" s="14" t="s">
        <v>86</v>
      </c>
    </row>
    <row r="5" spans="1:11" s="2" customFormat="1" x14ac:dyDescent="0.25"/>
    <row r="6" spans="1:11" s="2" customFormat="1" ht="15.75" x14ac:dyDescent="0.25">
      <c r="A6" s="36" t="s">
        <v>87</v>
      </c>
    </row>
    <row r="7" spans="1:11" s="2" customFormat="1" ht="15.75" x14ac:dyDescent="0.25">
      <c r="A7" s="36" t="s">
        <v>88</v>
      </c>
    </row>
    <row r="8" spans="1:11" s="2" customFormat="1" ht="15.75" x14ac:dyDescent="0.25">
      <c r="A8" s="36" t="s">
        <v>89</v>
      </c>
    </row>
    <row r="9" spans="1:11" s="2" customFormat="1" ht="15.75" x14ac:dyDescent="0.25">
      <c r="A9" s="38" t="s">
        <v>90</v>
      </c>
    </row>
    <row r="10" spans="1:11" s="2" customFormat="1" ht="15.75" x14ac:dyDescent="0.25">
      <c r="A10" s="38" t="s">
        <v>91</v>
      </c>
    </row>
    <row r="11" spans="1:11" s="2" customFormat="1" ht="15.75" x14ac:dyDescent="0.25">
      <c r="A11" s="38"/>
    </row>
    <row r="12" spans="1:11" s="2" customFormat="1" x14ac:dyDescent="0.25">
      <c r="A12" s="39" t="s">
        <v>93</v>
      </c>
    </row>
    <row r="13" spans="1:11" s="2" customFormat="1" x14ac:dyDescent="0.25">
      <c r="A13" s="45"/>
      <c r="B13" s="45"/>
      <c r="C13" s="45"/>
      <c r="D13" s="45"/>
      <c r="E13" s="45"/>
      <c r="F13" s="45"/>
      <c r="G13" s="45"/>
      <c r="H13" s="45"/>
      <c r="I13" s="46"/>
      <c r="J13" s="46" t="s">
        <v>94</v>
      </c>
      <c r="K13" s="46"/>
    </row>
    <row r="14" spans="1:11" s="2" customFormat="1" x14ac:dyDescent="0.25">
      <c r="A14" s="47"/>
      <c r="B14" s="47"/>
      <c r="C14" s="47"/>
      <c r="D14" s="47"/>
      <c r="E14" s="47" t="s">
        <v>95</v>
      </c>
      <c r="F14" s="47"/>
      <c r="G14" s="47" t="s">
        <v>96</v>
      </c>
      <c r="H14" s="48" t="s">
        <v>97</v>
      </c>
      <c r="I14" s="47" t="s">
        <v>94</v>
      </c>
      <c r="J14" s="48" t="s">
        <v>95</v>
      </c>
      <c r="K14" s="47" t="s">
        <v>96</v>
      </c>
    </row>
    <row r="15" spans="1:11" s="2" customFormat="1" x14ac:dyDescent="0.25">
      <c r="A15" s="47" t="s">
        <v>98</v>
      </c>
      <c r="B15" s="47"/>
      <c r="C15" s="47" t="s">
        <v>97</v>
      </c>
      <c r="D15" s="47"/>
      <c r="E15" s="47" t="s">
        <v>99</v>
      </c>
      <c r="F15" s="47" t="s">
        <v>100</v>
      </c>
      <c r="G15" s="47" t="s">
        <v>101</v>
      </c>
      <c r="H15" s="48" t="s">
        <v>102</v>
      </c>
      <c r="I15" s="48" t="s">
        <v>96</v>
      </c>
      <c r="J15" s="47" t="s">
        <v>103</v>
      </c>
      <c r="K15" s="48" t="s">
        <v>144</v>
      </c>
    </row>
    <row r="16" spans="1:11" s="2" customFormat="1" x14ac:dyDescent="0.25">
      <c r="A16" s="49" t="s">
        <v>104</v>
      </c>
      <c r="B16" s="50" t="s">
        <v>105</v>
      </c>
      <c r="C16" s="50" t="s">
        <v>102</v>
      </c>
      <c r="D16" s="50" t="s">
        <v>106</v>
      </c>
      <c r="E16" s="50" t="s">
        <v>107</v>
      </c>
      <c r="F16" s="50" t="s">
        <v>108</v>
      </c>
      <c r="G16" s="50" t="s">
        <v>109</v>
      </c>
      <c r="H16" s="49" t="s">
        <v>110</v>
      </c>
      <c r="I16" s="49" t="s">
        <v>103</v>
      </c>
      <c r="J16" s="50" t="s">
        <v>107</v>
      </c>
      <c r="K16" s="49" t="s">
        <v>107</v>
      </c>
    </row>
    <row r="17" spans="1:29" s="2" customFormat="1" x14ac:dyDescent="0.25">
      <c r="A17" s="40">
        <v>1</v>
      </c>
      <c r="B17" s="41">
        <v>5200</v>
      </c>
      <c r="C17" s="41">
        <v>2250</v>
      </c>
      <c r="D17" s="41">
        <v>2500</v>
      </c>
      <c r="E17" s="42">
        <f>0.035</f>
        <v>3.5000000000000003E-2</v>
      </c>
      <c r="F17" s="42">
        <f>0.04</f>
        <v>0.04</v>
      </c>
      <c r="G17" s="41">
        <f>1000000</f>
        <v>1000000</v>
      </c>
      <c r="H17" s="41">
        <v>1000</v>
      </c>
      <c r="I17" s="43">
        <f t="shared" ref="I17:I26" si="0">C17/G17*1000</f>
        <v>2.25</v>
      </c>
      <c r="J17" s="44">
        <v>4.22</v>
      </c>
      <c r="K17" s="64">
        <v>3.6200000000000003E-2</v>
      </c>
    </row>
    <row r="18" spans="1:29" s="2" customFormat="1" x14ac:dyDescent="0.25">
      <c r="A18" s="40">
        <v>2</v>
      </c>
      <c r="B18" s="41">
        <v>5000</v>
      </c>
      <c r="C18" s="41">
        <v>2500</v>
      </c>
      <c r="D18" s="41">
        <v>1300</v>
      </c>
      <c r="E18" s="42">
        <f t="shared" ref="E18:E26" si="1">0.035</f>
        <v>3.5000000000000003E-2</v>
      </c>
      <c r="F18" s="42">
        <f t="shared" ref="F18:F26" si="2">0.04</f>
        <v>0.04</v>
      </c>
      <c r="G18" s="41">
        <f t="shared" ref="G18:G26" si="3">B18/B$17*G$17</f>
        <v>961538.46153846162</v>
      </c>
      <c r="H18" s="41">
        <v>1000</v>
      </c>
      <c r="I18" s="43">
        <f t="shared" si="0"/>
        <v>2.6</v>
      </c>
      <c r="J18" s="44">
        <v>4.58</v>
      </c>
      <c r="K18" s="64">
        <v>5.74E-2</v>
      </c>
    </row>
    <row r="19" spans="1:29" s="2" customFormat="1" x14ac:dyDescent="0.25">
      <c r="A19" s="40">
        <v>3</v>
      </c>
      <c r="B19" s="41">
        <v>4700</v>
      </c>
      <c r="C19" s="41">
        <v>2800</v>
      </c>
      <c r="D19" s="41">
        <v>500</v>
      </c>
      <c r="E19" s="42">
        <f t="shared" si="1"/>
        <v>3.5000000000000003E-2</v>
      </c>
      <c r="F19" s="42">
        <f t="shared" si="2"/>
        <v>0.04</v>
      </c>
      <c r="G19" s="41">
        <f t="shared" si="3"/>
        <v>903846.15384615387</v>
      </c>
      <c r="H19" s="41">
        <v>1000</v>
      </c>
      <c r="I19" s="43">
        <f t="shared" si="0"/>
        <v>3.0978723404255319</v>
      </c>
      <c r="J19" s="44">
        <v>5</v>
      </c>
      <c r="K19" s="64">
        <v>0.1033</v>
      </c>
    </row>
    <row r="20" spans="1:29" s="2" customFormat="1" x14ac:dyDescent="0.25">
      <c r="A20" s="40">
        <f t="shared" ref="A20:A26" si="4">A19+1</f>
        <v>4</v>
      </c>
      <c r="B20" s="41">
        <v>4200</v>
      </c>
      <c r="C20" s="41">
        <v>3150</v>
      </c>
      <c r="D20" s="41">
        <v>400</v>
      </c>
      <c r="E20" s="42">
        <f t="shared" si="1"/>
        <v>3.5000000000000003E-2</v>
      </c>
      <c r="F20" s="42">
        <f t="shared" si="2"/>
        <v>0.04</v>
      </c>
      <c r="G20" s="41">
        <f t="shared" si="3"/>
        <v>807692.30769230775</v>
      </c>
      <c r="H20" s="41">
        <v>1000</v>
      </c>
      <c r="I20" s="43">
        <f t="shared" si="0"/>
        <v>3.9</v>
      </c>
      <c r="J20" s="44">
        <v>5.48</v>
      </c>
      <c r="K20" s="64">
        <v>0.1628</v>
      </c>
    </row>
    <row r="21" spans="1:29" s="2" customFormat="1" x14ac:dyDescent="0.25">
      <c r="A21" s="40">
        <f t="shared" si="4"/>
        <v>5</v>
      </c>
      <c r="B21" s="41">
        <v>3500</v>
      </c>
      <c r="C21" s="41">
        <v>3550</v>
      </c>
      <c r="D21" s="41">
        <v>300</v>
      </c>
      <c r="E21" s="42">
        <f t="shared" si="1"/>
        <v>3.5000000000000003E-2</v>
      </c>
      <c r="F21" s="42">
        <f t="shared" si="2"/>
        <v>0.04</v>
      </c>
      <c r="G21" s="41">
        <f t="shared" si="3"/>
        <v>673076.92307692312</v>
      </c>
      <c r="H21" s="41">
        <v>1000</v>
      </c>
      <c r="I21" s="43">
        <f t="shared" si="0"/>
        <v>5.274285714285714</v>
      </c>
      <c r="J21" s="44">
        <v>6.04</v>
      </c>
      <c r="K21" s="64">
        <v>0.19470000000000001</v>
      </c>
    </row>
    <row r="22" spans="1:29" s="2" customFormat="1" x14ac:dyDescent="0.25">
      <c r="A22" s="40">
        <f t="shared" si="4"/>
        <v>6</v>
      </c>
      <c r="B22" s="41">
        <v>2800</v>
      </c>
      <c r="C22" s="41">
        <v>4000</v>
      </c>
      <c r="D22" s="41">
        <v>300</v>
      </c>
      <c r="E22" s="42">
        <f t="shared" si="1"/>
        <v>3.5000000000000003E-2</v>
      </c>
      <c r="F22" s="42">
        <f t="shared" si="2"/>
        <v>0.04</v>
      </c>
      <c r="G22" s="41">
        <f t="shared" si="3"/>
        <v>538461.53846153838</v>
      </c>
      <c r="H22" s="41">
        <v>1000</v>
      </c>
      <c r="I22" s="43">
        <f t="shared" si="0"/>
        <v>7.4285714285714297</v>
      </c>
      <c r="J22" s="44">
        <v>6.67</v>
      </c>
      <c r="K22" s="64">
        <v>0.2069</v>
      </c>
    </row>
    <row r="23" spans="1:29" s="2" customFormat="1" x14ac:dyDescent="0.25">
      <c r="A23" s="40">
        <f t="shared" si="4"/>
        <v>7</v>
      </c>
      <c r="B23" s="41">
        <v>2200</v>
      </c>
      <c r="C23" s="41">
        <v>4500</v>
      </c>
      <c r="D23" s="41">
        <v>300</v>
      </c>
      <c r="E23" s="42">
        <f t="shared" si="1"/>
        <v>3.5000000000000003E-2</v>
      </c>
      <c r="F23" s="42">
        <f t="shared" si="2"/>
        <v>0.04</v>
      </c>
      <c r="G23" s="41">
        <f t="shared" si="3"/>
        <v>423076.92307692306</v>
      </c>
      <c r="H23" s="41">
        <v>1000</v>
      </c>
      <c r="I23" s="43">
        <f t="shared" si="0"/>
        <v>10.636363636363637</v>
      </c>
      <c r="J23" s="44">
        <v>7.4</v>
      </c>
      <c r="K23" s="64">
        <v>0.21659999999999999</v>
      </c>
    </row>
    <row r="24" spans="1:29" s="2" customFormat="1" x14ac:dyDescent="0.25">
      <c r="A24" s="40">
        <f t="shared" si="4"/>
        <v>8</v>
      </c>
      <c r="B24" s="41">
        <v>1700</v>
      </c>
      <c r="C24" s="41">
        <v>5250</v>
      </c>
      <c r="D24" s="41">
        <v>250</v>
      </c>
      <c r="E24" s="42">
        <f t="shared" si="1"/>
        <v>3.5000000000000003E-2</v>
      </c>
      <c r="F24" s="42">
        <f t="shared" si="2"/>
        <v>0.04</v>
      </c>
      <c r="G24" s="41">
        <f t="shared" si="3"/>
        <v>326923.07692307694</v>
      </c>
      <c r="H24" s="41">
        <v>1000</v>
      </c>
      <c r="I24" s="43">
        <f t="shared" si="0"/>
        <v>16.058823529411764</v>
      </c>
      <c r="J24" s="44">
        <v>8.2200000000000006</v>
      </c>
      <c r="K24" s="64">
        <v>0.21920000000000001</v>
      </c>
    </row>
    <row r="25" spans="1:29" s="2" customFormat="1" x14ac:dyDescent="0.25">
      <c r="A25" s="40">
        <f t="shared" si="4"/>
        <v>9</v>
      </c>
      <c r="B25" s="41">
        <v>1300</v>
      </c>
      <c r="C25" s="41">
        <v>6000</v>
      </c>
      <c r="D25" s="41">
        <v>200</v>
      </c>
      <c r="E25" s="42">
        <f t="shared" si="1"/>
        <v>3.5000000000000003E-2</v>
      </c>
      <c r="F25" s="42">
        <f t="shared" si="2"/>
        <v>0.04</v>
      </c>
      <c r="G25" s="41">
        <f t="shared" si="3"/>
        <v>250000</v>
      </c>
      <c r="H25" s="41">
        <v>1000</v>
      </c>
      <c r="I25" s="43">
        <f t="shared" si="0"/>
        <v>24</v>
      </c>
      <c r="J25" s="44">
        <v>9.14</v>
      </c>
      <c r="K25" s="64">
        <v>0.20680000000000001</v>
      </c>
    </row>
    <row r="26" spans="1:29" s="2" customFormat="1" x14ac:dyDescent="0.25">
      <c r="A26" s="40">
        <f t="shared" si="4"/>
        <v>10</v>
      </c>
      <c r="B26" s="41">
        <v>1000</v>
      </c>
      <c r="C26" s="41">
        <v>6500</v>
      </c>
      <c r="D26" s="41">
        <v>150</v>
      </c>
      <c r="E26" s="42">
        <f t="shared" si="1"/>
        <v>3.5000000000000003E-2</v>
      </c>
      <c r="F26" s="42">
        <f t="shared" si="2"/>
        <v>0.04</v>
      </c>
      <c r="G26" s="41">
        <f t="shared" si="3"/>
        <v>192307.69230769231</v>
      </c>
      <c r="H26" s="41">
        <v>1000</v>
      </c>
      <c r="I26" s="43">
        <f t="shared" si="0"/>
        <v>33.799999999999997</v>
      </c>
      <c r="J26" s="44">
        <v>10.130000000000001</v>
      </c>
      <c r="K26" s="64">
        <v>0.96619999999999995</v>
      </c>
    </row>
    <row r="27" spans="1:29" s="2" customFormat="1" x14ac:dyDescent="0.25"/>
    <row r="28" spans="1:29" s="2" customFormat="1" ht="15.75" x14ac:dyDescent="0.25">
      <c r="A28" s="7" t="s">
        <v>142</v>
      </c>
    </row>
    <row r="29" spans="1:29" s="2" customFormat="1" ht="15.75" x14ac:dyDescent="0.25">
      <c r="A29" s="7"/>
    </row>
    <row r="30" spans="1:29" s="2" customFormat="1" x14ac:dyDescent="0.25">
      <c r="A30" s="39" t="s">
        <v>141</v>
      </c>
    </row>
    <row r="31" spans="1:29" s="2" customFormat="1" x14ac:dyDescent="0.25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6" t="s">
        <v>111</v>
      </c>
      <c r="Z31" s="51"/>
      <c r="AA31" s="45"/>
      <c r="AB31" s="45"/>
      <c r="AC31" s="45"/>
    </row>
    <row r="32" spans="1:29" s="2" customFormat="1" x14ac:dyDescent="0.25">
      <c r="A32" s="48" t="s">
        <v>98</v>
      </c>
      <c r="B32" s="48" t="s">
        <v>97</v>
      </c>
      <c r="C32" s="52"/>
      <c r="D32" s="48"/>
      <c r="E32" s="48" t="s">
        <v>94</v>
      </c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 t="s">
        <v>112</v>
      </c>
      <c r="R32" s="52"/>
      <c r="S32" s="48" t="s">
        <v>113</v>
      </c>
      <c r="T32" s="52" t="s">
        <v>112</v>
      </c>
      <c r="U32" s="48" t="s">
        <v>114</v>
      </c>
      <c r="V32" s="52"/>
      <c r="W32" s="52"/>
      <c r="X32" s="48" t="s">
        <v>115</v>
      </c>
      <c r="Y32" s="47" t="s">
        <v>116</v>
      </c>
      <c r="Z32" s="47" t="s">
        <v>117</v>
      </c>
      <c r="AA32" s="47" t="s">
        <v>118</v>
      </c>
      <c r="AB32" s="47" t="s">
        <v>119</v>
      </c>
      <c r="AC32" s="47" t="s">
        <v>115</v>
      </c>
    </row>
    <row r="33" spans="1:29" s="2" customFormat="1" x14ac:dyDescent="0.25">
      <c r="A33" s="48" t="s">
        <v>120</v>
      </c>
      <c r="B33" s="48" t="s">
        <v>102</v>
      </c>
      <c r="C33" s="48" t="s">
        <v>105</v>
      </c>
      <c r="D33" s="48" t="s">
        <v>99</v>
      </c>
      <c r="E33" s="48" t="s">
        <v>103</v>
      </c>
      <c r="F33" s="48"/>
      <c r="G33" s="48"/>
      <c r="H33" s="48" t="s">
        <v>121</v>
      </c>
      <c r="I33" s="48" t="s">
        <v>122</v>
      </c>
      <c r="J33" s="52"/>
      <c r="K33" s="52"/>
      <c r="L33" s="47" t="s">
        <v>121</v>
      </c>
      <c r="M33" s="47" t="s">
        <v>121</v>
      </c>
      <c r="N33" s="47" t="s">
        <v>123</v>
      </c>
      <c r="O33" s="48" t="s">
        <v>122</v>
      </c>
      <c r="P33" s="52"/>
      <c r="Q33" s="47" t="s">
        <v>124</v>
      </c>
      <c r="R33" s="47" t="s">
        <v>125</v>
      </c>
      <c r="S33" s="47" t="s">
        <v>125</v>
      </c>
      <c r="T33" s="47" t="s">
        <v>114</v>
      </c>
      <c r="U33" s="48" t="s">
        <v>126</v>
      </c>
      <c r="V33" s="47" t="s">
        <v>96</v>
      </c>
      <c r="W33" s="52"/>
      <c r="X33" s="47" t="s">
        <v>114</v>
      </c>
      <c r="Y33" s="47" t="s">
        <v>61</v>
      </c>
      <c r="Z33" s="47" t="s">
        <v>127</v>
      </c>
      <c r="AA33" s="47" t="s">
        <v>128</v>
      </c>
      <c r="AB33" s="47" t="s">
        <v>127</v>
      </c>
      <c r="AC33" s="47" t="s">
        <v>119</v>
      </c>
    </row>
    <row r="34" spans="1:29" s="2" customFormat="1" x14ac:dyDescent="0.25">
      <c r="A34" s="49" t="s">
        <v>104</v>
      </c>
      <c r="B34" s="49" t="s">
        <v>110</v>
      </c>
      <c r="C34" s="49" t="s">
        <v>110</v>
      </c>
      <c r="D34" s="49" t="s">
        <v>107</v>
      </c>
      <c r="E34" s="49" t="s">
        <v>107</v>
      </c>
      <c r="F34" s="49" t="s">
        <v>129</v>
      </c>
      <c r="G34" s="49" t="s">
        <v>130</v>
      </c>
      <c r="H34" s="49" t="s">
        <v>131</v>
      </c>
      <c r="I34" s="49" t="s">
        <v>131</v>
      </c>
      <c r="J34" s="49" t="s">
        <v>132</v>
      </c>
      <c r="K34" s="49" t="s">
        <v>133</v>
      </c>
      <c r="L34" s="50" t="s">
        <v>134</v>
      </c>
      <c r="M34" s="50" t="s">
        <v>135</v>
      </c>
      <c r="N34" s="50" t="s">
        <v>136</v>
      </c>
      <c r="O34" s="49" t="s">
        <v>131</v>
      </c>
      <c r="P34" s="49" t="s">
        <v>124</v>
      </c>
      <c r="Q34" s="50" t="s">
        <v>137</v>
      </c>
      <c r="R34" s="50" t="s">
        <v>138</v>
      </c>
      <c r="S34" s="50" t="s">
        <v>138</v>
      </c>
      <c r="T34" s="50" t="s">
        <v>127</v>
      </c>
      <c r="U34" s="50" t="s">
        <v>61</v>
      </c>
      <c r="V34" s="49" t="s">
        <v>130</v>
      </c>
      <c r="W34" s="50" t="s">
        <v>139</v>
      </c>
      <c r="X34" s="50" t="s">
        <v>127</v>
      </c>
      <c r="Y34" s="50" t="s">
        <v>110</v>
      </c>
      <c r="Z34" s="50" t="s">
        <v>140</v>
      </c>
      <c r="AA34" s="50" t="s">
        <v>140</v>
      </c>
      <c r="AB34" s="50" t="s">
        <v>140</v>
      </c>
      <c r="AC34" s="50" t="s">
        <v>127</v>
      </c>
    </row>
    <row r="35" spans="1:29" s="2" customFormat="1" x14ac:dyDescent="0.25">
      <c r="A35" s="53">
        <v>1</v>
      </c>
      <c r="B35" s="54">
        <v>1000</v>
      </c>
      <c r="C35" s="55">
        <v>1</v>
      </c>
      <c r="D35" s="56">
        <f t="shared" ref="D35:D44" si="5">F17</f>
        <v>0.04</v>
      </c>
      <c r="E35" s="57">
        <f t="shared" ref="E35:E44" si="6">I17</f>
        <v>2.25</v>
      </c>
      <c r="F35" s="58">
        <f>1</f>
        <v>1</v>
      </c>
      <c r="G35" s="58">
        <f>B35/1000</f>
        <v>1</v>
      </c>
      <c r="H35" s="58">
        <f>F35*G35</f>
        <v>1</v>
      </c>
      <c r="I35" s="58">
        <f>SUM(H35:H$44)/(F35*G35)</f>
        <v>8.2640546298460986</v>
      </c>
      <c r="J35" s="58">
        <f t="shared" ref="J35:J44" si="7">B35*(G35-G36)</f>
        <v>2.2499999999999742</v>
      </c>
      <c r="K35" s="58">
        <f t="shared" ref="K35:K44" si="8">G35*C35</f>
        <v>1</v>
      </c>
      <c r="L35" s="58">
        <f t="shared" ref="L35:L44" si="9">J35*F35</f>
        <v>2.2499999999999742</v>
      </c>
      <c r="M35" s="58">
        <f>C35*F35*G35</f>
        <v>1</v>
      </c>
      <c r="N35" s="58">
        <f>SUM(L35:L$44)/(F35*G35)</f>
        <v>80.143867474483457</v>
      </c>
      <c r="O35" s="58">
        <f>I35</f>
        <v>8.2640546298460986</v>
      </c>
      <c r="P35" s="59">
        <f>N35/O35</f>
        <v>9.6978869409985951</v>
      </c>
      <c r="Q35" s="58">
        <f>N35-O35*P35*C35/C$35</f>
        <v>0</v>
      </c>
      <c r="R35" s="58">
        <f>(N36/O36)-F35*J35/(1+D35)</f>
        <v>8.5597325237689645</v>
      </c>
      <c r="S35" s="58">
        <f>R$35*O35/O$35</f>
        <v>8.5597325237689645</v>
      </c>
      <c r="T35" s="58">
        <f>L35-U35</f>
        <v>8.6538461538460787E-2</v>
      </c>
      <c r="U35" s="58">
        <f>F35*J35/(1+D35)</f>
        <v>2.1634615384615135</v>
      </c>
      <c r="V35" s="58">
        <f t="shared" ref="V35:V44" si="10">B17/B$17</f>
        <v>1</v>
      </c>
      <c r="W35" s="60">
        <f>1000000</f>
        <v>1000000</v>
      </c>
      <c r="X35" s="60">
        <f t="shared" ref="X35:X44" si="11">W35*T35/B35</f>
        <v>86.538461538460794</v>
      </c>
      <c r="Y35" s="61">
        <f>B17/(W35/B35)</f>
        <v>5.2</v>
      </c>
      <c r="Z35" s="62">
        <f>J35-MIN(U35,Y35)</f>
        <v>8.6538461538460787E-2</v>
      </c>
      <c r="AA35" s="58">
        <f>MAX(U35-Y35,0)*O35</f>
        <v>0</v>
      </c>
      <c r="AB35" s="58">
        <f>W35/B35*AA35</f>
        <v>0</v>
      </c>
      <c r="AC35" s="58">
        <f t="shared" ref="AC35:AC44" si="12">W35/B35*AA35</f>
        <v>0</v>
      </c>
    </row>
    <row r="36" spans="1:29" s="2" customFormat="1" x14ac:dyDescent="0.25">
      <c r="A36" s="53">
        <f>A35+1</f>
        <v>2</v>
      </c>
      <c r="B36" s="54">
        <v>1000</v>
      </c>
      <c r="C36" s="55">
        <v>1</v>
      </c>
      <c r="D36" s="56">
        <f t="shared" si="5"/>
        <v>0.04</v>
      </c>
      <c r="E36" s="57">
        <f t="shared" si="6"/>
        <v>2.6</v>
      </c>
      <c r="F36" s="58">
        <f>F35/(1+D35)</f>
        <v>0.96153846153846145</v>
      </c>
      <c r="G36" s="58">
        <f t="shared" ref="G36:G44" si="13">G35*(1-E35/1000)</f>
        <v>0.99775000000000003</v>
      </c>
      <c r="H36" s="58">
        <f t="shared" ref="H36:H44" si="14">F36*G36</f>
        <v>0.95937499999999998</v>
      </c>
      <c r="I36" s="58">
        <f>SUM(H36:H$44)/(F36*G36)</f>
        <v>7.5716530343672677</v>
      </c>
      <c r="J36" s="58">
        <f t="shared" si="7"/>
        <v>2.5941500000000728</v>
      </c>
      <c r="K36" s="58">
        <f t="shared" si="8"/>
        <v>0.99775000000000003</v>
      </c>
      <c r="L36" s="58">
        <f t="shared" si="9"/>
        <v>2.49437500000007</v>
      </c>
      <c r="M36" s="58">
        <f t="shared" ref="M36:M44" si="15">C36*F36*G36</f>
        <v>0.95937499999999998</v>
      </c>
      <c r="N36" s="58">
        <f>SUM(L36:L$44)/(F36*G36)</f>
        <v>81.192304859396472</v>
      </c>
      <c r="O36" s="58">
        <f t="shared" ref="O36:O44" si="16">I36</f>
        <v>7.5716530343672677</v>
      </c>
      <c r="P36" s="58">
        <f t="shared" ref="P36:P44" si="17">P35</f>
        <v>9.6978869409985951</v>
      </c>
      <c r="Q36" s="58">
        <f t="shared" ref="Q36:Q44" si="18">N36-O36*P36*C36/C$35</f>
        <v>7.7632697756337592</v>
      </c>
      <c r="R36" s="58"/>
      <c r="S36" s="58">
        <f t="shared" ref="S36:S44" si="19">R$35*O36/O$35</f>
        <v>7.8425576354369335</v>
      </c>
      <c r="T36" s="58">
        <f>Q36-S36</f>
        <v>-7.9287859803174321E-2</v>
      </c>
      <c r="U36" s="58">
        <f>P35+R35</f>
        <v>18.257619464767558</v>
      </c>
      <c r="V36" s="58">
        <f t="shared" si="10"/>
        <v>0.96153846153846156</v>
      </c>
      <c r="W36" s="60">
        <f>W$35*V36</f>
        <v>961538.46153846162</v>
      </c>
      <c r="X36" s="60">
        <f t="shared" si="11"/>
        <v>-76.238326733821467</v>
      </c>
      <c r="Y36" s="55">
        <f>Y35</f>
        <v>5.2</v>
      </c>
      <c r="Z36" s="55">
        <f>N36-MIN(Y36,U36)*O36</f>
        <v>41.819709080686678</v>
      </c>
      <c r="AA36" s="55">
        <f t="shared" ref="AA36:AA44" si="20">MAX(U36-Y36,0)*O36</f>
        <v>98.867764042020383</v>
      </c>
      <c r="AB36" s="55">
        <f t="shared" ref="AB36:AB44" si="21">W36/B36*AA36</f>
        <v>95065.157732711916</v>
      </c>
      <c r="AC36" s="63">
        <f t="shared" si="12"/>
        <v>95065.157732711916</v>
      </c>
    </row>
    <row r="37" spans="1:29" s="2" customFormat="1" x14ac:dyDescent="0.25">
      <c r="A37" s="53">
        <f t="shared" ref="A37:A44" si="22">A36+1</f>
        <v>3</v>
      </c>
      <c r="B37" s="54">
        <v>1000</v>
      </c>
      <c r="C37" s="55">
        <v>1</v>
      </c>
      <c r="D37" s="56">
        <f t="shared" si="5"/>
        <v>0.04</v>
      </c>
      <c r="E37" s="57">
        <f t="shared" si="6"/>
        <v>3.0978723404255319</v>
      </c>
      <c r="F37" s="58">
        <f t="shared" ref="F37:F44" si="23">F36/(1+D36)</f>
        <v>0.92455621301775137</v>
      </c>
      <c r="G37" s="58">
        <f t="shared" si="13"/>
        <v>0.99515584999999995</v>
      </c>
      <c r="H37" s="58">
        <f t="shared" si="14"/>
        <v>0.92007752403846144</v>
      </c>
      <c r="I37" s="58">
        <f>SUM(H37:H$44)/(F37*G37)</f>
        <v>6.8523352273330245</v>
      </c>
      <c r="J37" s="58">
        <f t="shared" si="7"/>
        <v>3.0828657821276861</v>
      </c>
      <c r="K37" s="58">
        <f t="shared" si="8"/>
        <v>0.99515584999999995</v>
      </c>
      <c r="L37" s="58">
        <f t="shared" si="9"/>
        <v>2.8502827127659818</v>
      </c>
      <c r="M37" s="58">
        <f t="shared" si="15"/>
        <v>0.92007752403846144</v>
      </c>
      <c r="N37" s="58">
        <f>SUM(L37:L$44)/(F37*G37)</f>
        <v>81.949064621788921</v>
      </c>
      <c r="O37" s="58">
        <f t="shared" si="16"/>
        <v>6.8523352273330245</v>
      </c>
      <c r="P37" s="58">
        <f t="shared" si="17"/>
        <v>9.6978869409985951</v>
      </c>
      <c r="Q37" s="58">
        <f t="shared" si="18"/>
        <v>15.495892305291349</v>
      </c>
      <c r="R37" s="58"/>
      <c r="S37" s="58">
        <f t="shared" si="19"/>
        <v>7.097503506007512</v>
      </c>
      <c r="T37" s="58">
        <f t="shared" ref="T37:T44" si="24">Q37-S37</f>
        <v>8.3983887992838362</v>
      </c>
      <c r="U37" s="58">
        <f>U36</f>
        <v>18.257619464767558</v>
      </c>
      <c r="V37" s="58">
        <f t="shared" si="10"/>
        <v>0.90384615384615385</v>
      </c>
      <c r="W37" s="60">
        <f t="shared" ref="W37:W44" si="25">W$35*V37</f>
        <v>903846.15384615387</v>
      </c>
      <c r="X37" s="60">
        <f t="shared" si="11"/>
        <v>7590.8514147373144</v>
      </c>
      <c r="Y37" s="55">
        <f t="shared" ref="Y37:Y44" si="26">Y36</f>
        <v>5.2</v>
      </c>
      <c r="Z37" s="55">
        <f t="shared" ref="Z37:Z44" si="27">N37-MIN(Y37,U37)*O37</f>
        <v>46.316921439657193</v>
      </c>
      <c r="AA37" s="55">
        <f t="shared" si="20"/>
        <v>89.475185843536138</v>
      </c>
      <c r="AB37" s="55">
        <f t="shared" si="21"/>
        <v>80871.802589349973</v>
      </c>
      <c r="AC37" s="63">
        <f t="shared" si="12"/>
        <v>80871.802589349973</v>
      </c>
    </row>
    <row r="38" spans="1:29" s="2" customFormat="1" x14ac:dyDescent="0.25">
      <c r="A38" s="53">
        <f t="shared" si="22"/>
        <v>4</v>
      </c>
      <c r="B38" s="54">
        <v>1000</v>
      </c>
      <c r="C38" s="55">
        <v>1</v>
      </c>
      <c r="D38" s="56">
        <f t="shared" si="5"/>
        <v>0.04</v>
      </c>
      <c r="E38" s="57">
        <f t="shared" si="6"/>
        <v>3.9</v>
      </c>
      <c r="F38" s="58">
        <f t="shared" si="23"/>
        <v>0.88899635867091475</v>
      </c>
      <c r="G38" s="58">
        <f t="shared" si="13"/>
        <v>0.99207298421787227</v>
      </c>
      <c r="H38" s="58">
        <f t="shared" si="14"/>
        <v>0.88194927050547633</v>
      </c>
      <c r="I38" s="58">
        <f>SUM(H38:H$44)/(F38*G38)</f>
        <v>6.1053422071787979</v>
      </c>
      <c r="J38" s="58">
        <f t="shared" si="7"/>
        <v>3.8690846384497046</v>
      </c>
      <c r="K38" s="58">
        <f t="shared" si="8"/>
        <v>0.99207298421787227</v>
      </c>
      <c r="L38" s="58">
        <f t="shared" si="9"/>
        <v>3.43960215497136</v>
      </c>
      <c r="M38" s="58">
        <f t="shared" si="15"/>
        <v>0.88194927050547633</v>
      </c>
      <c r="N38" s="58">
        <f>SUM(L38:L$44)/(F38*G38)</f>
        <v>82.260071171822517</v>
      </c>
      <c r="O38" s="58">
        <f t="shared" si="16"/>
        <v>6.1053422071787979</v>
      </c>
      <c r="P38" s="58">
        <f t="shared" si="17"/>
        <v>9.6978869409985951</v>
      </c>
      <c r="Q38" s="58">
        <f t="shared" si="18"/>
        <v>23.051152710495714</v>
      </c>
      <c r="R38" s="58"/>
      <c r="S38" s="58">
        <f t="shared" si="19"/>
        <v>6.3237839777568103</v>
      </c>
      <c r="T38" s="58">
        <f t="shared" si="24"/>
        <v>16.727368732738903</v>
      </c>
      <c r="U38" s="58">
        <f t="shared" ref="U38:U44" si="28">U37</f>
        <v>18.257619464767558</v>
      </c>
      <c r="V38" s="58">
        <f t="shared" si="10"/>
        <v>0.80769230769230771</v>
      </c>
      <c r="W38" s="60">
        <f t="shared" si="25"/>
        <v>807692.30769230775</v>
      </c>
      <c r="X38" s="60">
        <f t="shared" si="11"/>
        <v>13510.567053366038</v>
      </c>
      <c r="Y38" s="55">
        <f t="shared" si="26"/>
        <v>5.2</v>
      </c>
      <c r="Z38" s="55">
        <f t="shared" si="27"/>
        <v>50.512291694492767</v>
      </c>
      <c r="AA38" s="55">
        <f t="shared" si="20"/>
        <v>79.721235243524802</v>
      </c>
      <c r="AB38" s="55">
        <f t="shared" si="21"/>
        <v>64390.228465923879</v>
      </c>
      <c r="AC38" s="63">
        <f t="shared" si="12"/>
        <v>64390.228465923879</v>
      </c>
    </row>
    <row r="39" spans="1:29" s="2" customFormat="1" x14ac:dyDescent="0.25">
      <c r="A39" s="53">
        <f t="shared" si="22"/>
        <v>5</v>
      </c>
      <c r="B39" s="54">
        <v>1000</v>
      </c>
      <c r="C39" s="55">
        <v>1</v>
      </c>
      <c r="D39" s="56">
        <f t="shared" si="5"/>
        <v>0.04</v>
      </c>
      <c r="E39" s="57">
        <f t="shared" si="6"/>
        <v>5.274285714285714</v>
      </c>
      <c r="F39" s="58">
        <f t="shared" si="23"/>
        <v>0.85480419102972571</v>
      </c>
      <c r="G39" s="58">
        <f t="shared" si="13"/>
        <v>0.98820389957942256</v>
      </c>
      <c r="H39" s="58">
        <f t="shared" si="14"/>
        <v>0.84472083495240857</v>
      </c>
      <c r="I39" s="58">
        <f>SUM(H39:H$44)/(F39*G39)</f>
        <v>5.3303442379941277</v>
      </c>
      <c r="J39" s="58">
        <f t="shared" si="7"/>
        <v>5.212069710353151</v>
      </c>
      <c r="K39" s="58">
        <f t="shared" si="8"/>
        <v>0.98820389957942256</v>
      </c>
      <c r="L39" s="58">
        <f t="shared" si="9"/>
        <v>4.4552990323489619</v>
      </c>
      <c r="M39" s="58">
        <f t="shared" si="15"/>
        <v>0.84472083495240857</v>
      </c>
      <c r="N39" s="58">
        <f>SUM(L39:L$44)/(F39*G39)</f>
        <v>81.813546851415936</v>
      </c>
      <c r="O39" s="58">
        <f t="shared" si="16"/>
        <v>5.3303442379941277</v>
      </c>
      <c r="P39" s="58">
        <f t="shared" si="17"/>
        <v>9.6978869409985951</v>
      </c>
      <c r="Q39" s="58">
        <f t="shared" si="18"/>
        <v>30.120471074745581</v>
      </c>
      <c r="R39" s="58"/>
      <c r="S39" s="58">
        <f t="shared" si="19"/>
        <v>5.5210575172217284</v>
      </c>
      <c r="T39" s="58">
        <f t="shared" si="24"/>
        <v>24.599413557523853</v>
      </c>
      <c r="U39" s="58">
        <f t="shared" si="28"/>
        <v>18.257619464767558</v>
      </c>
      <c r="V39" s="58">
        <f t="shared" si="10"/>
        <v>0.67307692307692313</v>
      </c>
      <c r="W39" s="60">
        <f t="shared" si="25"/>
        <v>673076.92307692312</v>
      </c>
      <c r="X39" s="60">
        <f t="shared" si="11"/>
        <v>16557.297586794903</v>
      </c>
      <c r="Y39" s="55">
        <f t="shared" si="26"/>
        <v>5.2</v>
      </c>
      <c r="Z39" s="55">
        <f t="shared" si="27"/>
        <v>54.095756813846471</v>
      </c>
      <c r="AA39" s="55">
        <f t="shared" si="20"/>
        <v>69.601606675943728</v>
      </c>
      <c r="AB39" s="55">
        <f t="shared" si="21"/>
        <v>46847.235262654431</v>
      </c>
      <c r="AC39" s="63">
        <f t="shared" si="12"/>
        <v>46847.235262654431</v>
      </c>
    </row>
    <row r="40" spans="1:29" s="2" customFormat="1" x14ac:dyDescent="0.25">
      <c r="A40" s="53">
        <f t="shared" si="22"/>
        <v>6</v>
      </c>
      <c r="B40" s="54">
        <v>1000</v>
      </c>
      <c r="C40" s="55">
        <v>1</v>
      </c>
      <c r="D40" s="56">
        <f t="shared" si="5"/>
        <v>0.04</v>
      </c>
      <c r="E40" s="57">
        <f t="shared" si="6"/>
        <v>7.4285714285714297</v>
      </c>
      <c r="F40" s="58">
        <f t="shared" si="23"/>
        <v>0.82192710675935166</v>
      </c>
      <c r="G40" s="58">
        <f t="shared" si="13"/>
        <v>0.98299182986906941</v>
      </c>
      <c r="H40" s="58">
        <f t="shared" si="14"/>
        <v>0.80794763069236508</v>
      </c>
      <c r="I40" s="58">
        <f>SUM(H40:H$44)/(F40*G40)</f>
        <v>4.5274370038254972</v>
      </c>
      <c r="J40" s="58">
        <f t="shared" si="7"/>
        <v>7.3022250218844897</v>
      </c>
      <c r="K40" s="58">
        <f t="shared" si="8"/>
        <v>0.98299182986906941</v>
      </c>
      <c r="L40" s="58">
        <f t="shared" si="9"/>
        <v>6.0018966851432616</v>
      </c>
      <c r="M40" s="58">
        <f t="shared" si="15"/>
        <v>0.80794763069236508</v>
      </c>
      <c r="N40" s="58">
        <f>SUM(L40:L$44)/(F40*G40)</f>
        <v>80.02289519556119</v>
      </c>
      <c r="O40" s="58">
        <f t="shared" si="16"/>
        <v>4.5274370038254972</v>
      </c>
      <c r="P40" s="58">
        <f t="shared" si="17"/>
        <v>9.6978869409985951</v>
      </c>
      <c r="Q40" s="58">
        <f t="shared" si="18"/>
        <v>36.116322999968098</v>
      </c>
      <c r="R40" s="58"/>
      <c r="S40" s="58">
        <f t="shared" si="19"/>
        <v>4.6894232319083704</v>
      </c>
      <c r="T40" s="58">
        <f t="shared" si="24"/>
        <v>31.426899768059727</v>
      </c>
      <c r="U40" s="58">
        <f t="shared" si="28"/>
        <v>18.257619464767558</v>
      </c>
      <c r="V40" s="58">
        <f t="shared" si="10"/>
        <v>0.53846153846153844</v>
      </c>
      <c r="W40" s="60">
        <f t="shared" si="25"/>
        <v>538461.53846153838</v>
      </c>
      <c r="X40" s="60">
        <f t="shared" si="11"/>
        <v>16922.176798186003</v>
      </c>
      <c r="Y40" s="55">
        <f t="shared" si="26"/>
        <v>5.2</v>
      </c>
      <c r="Z40" s="55">
        <f t="shared" si="27"/>
        <v>56.480222775668608</v>
      </c>
      <c r="AA40" s="55">
        <f t="shared" si="20"/>
        <v>59.117549546660726</v>
      </c>
      <c r="AB40" s="55">
        <f t="shared" si="21"/>
        <v>31832.526678971153</v>
      </c>
      <c r="AC40" s="63">
        <f t="shared" si="12"/>
        <v>31832.526678971153</v>
      </c>
    </row>
    <row r="41" spans="1:29" s="2" customFormat="1" x14ac:dyDescent="0.25">
      <c r="A41" s="53">
        <f t="shared" si="22"/>
        <v>7</v>
      </c>
      <c r="B41" s="54">
        <v>1000</v>
      </c>
      <c r="C41" s="55">
        <v>1</v>
      </c>
      <c r="D41" s="56">
        <f t="shared" si="5"/>
        <v>0.04</v>
      </c>
      <c r="E41" s="57">
        <f t="shared" si="6"/>
        <v>10.636363636363637</v>
      </c>
      <c r="F41" s="58">
        <f t="shared" si="23"/>
        <v>0.79031452573014582</v>
      </c>
      <c r="G41" s="58">
        <f t="shared" si="13"/>
        <v>0.97568960484718492</v>
      </c>
      <c r="H41" s="58">
        <f t="shared" si="14"/>
        <v>0.77110166731463636</v>
      </c>
      <c r="I41" s="58">
        <f>SUM(H41:H$44)/(F41*G41)</f>
        <v>3.695990412759012</v>
      </c>
      <c r="J41" s="58">
        <f t="shared" si="7"/>
        <v>10.377789433374641</v>
      </c>
      <c r="K41" s="58">
        <f t="shared" si="8"/>
        <v>0.97568960484718492</v>
      </c>
      <c r="L41" s="58">
        <f t="shared" si="9"/>
        <v>8.2017177341647987</v>
      </c>
      <c r="M41" s="58">
        <f t="shared" si="15"/>
        <v>0.77110166731463636</v>
      </c>
      <c r="N41" s="58">
        <f>SUM(L41:L$44)/(F41*G41)</f>
        <v>76.063137165182169</v>
      </c>
      <c r="O41" s="58">
        <f t="shared" si="16"/>
        <v>3.695990412759012</v>
      </c>
      <c r="P41" s="58">
        <f t="shared" si="17"/>
        <v>9.6978869409985951</v>
      </c>
      <c r="Q41" s="58">
        <f t="shared" si="18"/>
        <v>40.219840007230538</v>
      </c>
      <c r="R41" s="58"/>
      <c r="S41" s="58">
        <f t="shared" si="19"/>
        <v>3.8282284859751421</v>
      </c>
      <c r="T41" s="58">
        <f t="shared" si="24"/>
        <v>36.391611521255399</v>
      </c>
      <c r="U41" s="58">
        <f t="shared" si="28"/>
        <v>18.257619464767558</v>
      </c>
      <c r="V41" s="58">
        <f t="shared" si="10"/>
        <v>0.42307692307692307</v>
      </c>
      <c r="W41" s="60">
        <f t="shared" si="25"/>
        <v>423076.92307692306</v>
      </c>
      <c r="X41" s="60">
        <f t="shared" si="11"/>
        <v>15396.451028223439</v>
      </c>
      <c r="Y41" s="55">
        <f t="shared" si="26"/>
        <v>5.2</v>
      </c>
      <c r="Z41" s="55">
        <f t="shared" si="27"/>
        <v>56.843987018835307</v>
      </c>
      <c r="AA41" s="55">
        <f t="shared" si="20"/>
        <v>48.260836355236357</v>
      </c>
      <c r="AB41" s="55">
        <f t="shared" si="21"/>
        <v>20418.046150292303</v>
      </c>
      <c r="AC41" s="63">
        <f t="shared" si="12"/>
        <v>20418.046150292303</v>
      </c>
    </row>
    <row r="42" spans="1:29" s="2" customFormat="1" x14ac:dyDescent="0.25">
      <c r="A42" s="53">
        <f t="shared" si="22"/>
        <v>8</v>
      </c>
      <c r="B42" s="54">
        <v>1000</v>
      </c>
      <c r="C42" s="55">
        <v>1</v>
      </c>
      <c r="D42" s="56">
        <f t="shared" si="5"/>
        <v>0.04</v>
      </c>
      <c r="E42" s="57">
        <f t="shared" si="6"/>
        <v>16.058823529411764</v>
      </c>
      <c r="F42" s="58">
        <f t="shared" si="23"/>
        <v>0.75991781320206331</v>
      </c>
      <c r="G42" s="58">
        <f t="shared" si="13"/>
        <v>0.96531181541381028</v>
      </c>
      <c r="H42" s="58">
        <f t="shared" si="14"/>
        <v>0.73355764382737654</v>
      </c>
      <c r="I42" s="58">
        <f>SUM(H42:H$44)/(F42*G42)</f>
        <v>2.8339731987469539</v>
      </c>
      <c r="J42" s="58">
        <f t="shared" si="7"/>
        <v>15.501772094586475</v>
      </c>
      <c r="K42" s="58">
        <f t="shared" si="8"/>
        <v>0.96531181541381028</v>
      </c>
      <c r="L42" s="58">
        <f t="shared" si="9"/>
        <v>11.780072750874922</v>
      </c>
      <c r="M42" s="58">
        <f t="shared" si="15"/>
        <v>0.73355764382737654</v>
      </c>
      <c r="N42" s="58">
        <f>SUM(L42:L$44)/(F42*G42)</f>
        <v>68.77536425339369</v>
      </c>
      <c r="O42" s="58">
        <f t="shared" si="16"/>
        <v>2.8339731987469539</v>
      </c>
      <c r="P42" s="58">
        <f t="shared" si="17"/>
        <v>9.6978869409985951</v>
      </c>
      <c r="Q42" s="58">
        <f t="shared" si="18"/>
        <v>41.291812578125587</v>
      </c>
      <c r="R42" s="58"/>
      <c r="S42" s="58">
        <f t="shared" si="19"/>
        <v>2.9353693371283565</v>
      </c>
      <c r="T42" s="58">
        <f t="shared" si="24"/>
        <v>38.35644324099723</v>
      </c>
      <c r="U42" s="58">
        <f t="shared" si="28"/>
        <v>18.257619464767558</v>
      </c>
      <c r="V42" s="58">
        <f t="shared" si="10"/>
        <v>0.32692307692307693</v>
      </c>
      <c r="W42" s="60">
        <f t="shared" si="25"/>
        <v>326923.07692307694</v>
      </c>
      <c r="X42" s="60">
        <f t="shared" si="11"/>
        <v>12539.606444172172</v>
      </c>
      <c r="Y42" s="55">
        <f t="shared" si="26"/>
        <v>5.2</v>
      </c>
      <c r="Z42" s="55">
        <f t="shared" si="27"/>
        <v>54.038703619909526</v>
      </c>
      <c r="AA42" s="55">
        <f t="shared" si="20"/>
        <v>37.004943602587808</v>
      </c>
      <c r="AB42" s="55">
        <f t="shared" si="21"/>
        <v>12097.770023922938</v>
      </c>
      <c r="AC42" s="63">
        <f t="shared" si="12"/>
        <v>12097.770023922938</v>
      </c>
    </row>
    <row r="43" spans="1:29" s="2" customFormat="1" x14ac:dyDescent="0.25">
      <c r="A43" s="53">
        <f t="shared" si="22"/>
        <v>9</v>
      </c>
      <c r="B43" s="54">
        <v>1000</v>
      </c>
      <c r="C43" s="55">
        <v>1</v>
      </c>
      <c r="D43" s="56">
        <f t="shared" si="5"/>
        <v>0.04</v>
      </c>
      <c r="E43" s="57">
        <f t="shared" si="6"/>
        <v>24</v>
      </c>
      <c r="F43" s="58">
        <f t="shared" si="23"/>
        <v>0.73069020500198389</v>
      </c>
      <c r="G43" s="58">
        <f t="shared" si="13"/>
        <v>0.94981004331922381</v>
      </c>
      <c r="H43" s="58">
        <f t="shared" si="14"/>
        <v>0.69401689526586685</v>
      </c>
      <c r="I43" s="58">
        <f>SUM(H43:H$44)/(F43*G43)</f>
        <v>1.9384615384615385</v>
      </c>
      <c r="J43" s="58">
        <f t="shared" si="7"/>
        <v>22.795441039661355</v>
      </c>
      <c r="K43" s="58">
        <f t="shared" si="8"/>
        <v>0.94981004331922381</v>
      </c>
      <c r="L43" s="58">
        <f t="shared" si="9"/>
        <v>16.656405486380791</v>
      </c>
      <c r="M43" s="58">
        <f t="shared" si="15"/>
        <v>0.69401689526586685</v>
      </c>
      <c r="N43" s="58">
        <f>SUM(L43:L$44)/(F43*G43)</f>
        <v>55.720000000000041</v>
      </c>
      <c r="O43" s="58">
        <f t="shared" si="16"/>
        <v>1.9384615384615385</v>
      </c>
      <c r="P43" s="58">
        <f t="shared" si="17"/>
        <v>9.6978869409985951</v>
      </c>
      <c r="Q43" s="58">
        <f t="shared" si="18"/>
        <v>36.921019160525844</v>
      </c>
      <c r="R43" s="58"/>
      <c r="S43" s="58">
        <f t="shared" si="19"/>
        <v>2.0078173511727453</v>
      </c>
      <c r="T43" s="58">
        <f t="shared" si="24"/>
        <v>34.913201809353097</v>
      </c>
      <c r="U43" s="58">
        <f t="shared" si="28"/>
        <v>18.257619464767558</v>
      </c>
      <c r="V43" s="58">
        <f t="shared" si="10"/>
        <v>0.25</v>
      </c>
      <c r="W43" s="60">
        <f t="shared" si="25"/>
        <v>250000</v>
      </c>
      <c r="X43" s="60">
        <f t="shared" si="11"/>
        <v>8728.3004523382751</v>
      </c>
      <c r="Y43" s="55">
        <f t="shared" si="26"/>
        <v>5.2</v>
      </c>
      <c r="Z43" s="55">
        <f t="shared" si="27"/>
        <v>45.640000000000043</v>
      </c>
      <c r="AA43" s="55">
        <f t="shared" si="20"/>
        <v>25.311693116318651</v>
      </c>
      <c r="AB43" s="55">
        <f t="shared" si="21"/>
        <v>6327.9232790796623</v>
      </c>
      <c r="AC43" s="63">
        <f t="shared" si="12"/>
        <v>6327.9232790796623</v>
      </c>
    </row>
    <row r="44" spans="1:29" s="2" customFormat="1" x14ac:dyDescent="0.25">
      <c r="A44" s="53">
        <f t="shared" si="22"/>
        <v>10</v>
      </c>
      <c r="B44" s="54">
        <v>1000</v>
      </c>
      <c r="C44" s="55">
        <v>1</v>
      </c>
      <c r="D44" s="56">
        <f t="shared" si="5"/>
        <v>0.04</v>
      </c>
      <c r="E44" s="57">
        <f t="shared" si="6"/>
        <v>33.799999999999997</v>
      </c>
      <c r="F44" s="58">
        <f t="shared" si="23"/>
        <v>0.70258673557883067</v>
      </c>
      <c r="G44" s="58">
        <f t="shared" si="13"/>
        <v>0.92701460227956245</v>
      </c>
      <c r="H44" s="58">
        <f t="shared" si="14"/>
        <v>0.6513081632495058</v>
      </c>
      <c r="I44" s="58">
        <f>SUM(H44:H$44)/(F44*G44)</f>
        <v>1</v>
      </c>
      <c r="J44" s="58">
        <f t="shared" si="7"/>
        <v>31.333093557049274</v>
      </c>
      <c r="K44" s="58">
        <f t="shared" si="8"/>
        <v>0.92701460227956245</v>
      </c>
      <c r="L44" s="58">
        <f t="shared" si="9"/>
        <v>22.01421591783334</v>
      </c>
      <c r="M44" s="58">
        <f t="shared" si="15"/>
        <v>0.6513081632495058</v>
      </c>
      <c r="N44" s="58">
        <f>SUM(L44:L$44)/(F44*G44)</f>
        <v>33.800000000000068</v>
      </c>
      <c r="O44" s="58">
        <f t="shared" si="16"/>
        <v>1</v>
      </c>
      <c r="P44" s="58">
        <f t="shared" si="17"/>
        <v>9.6978869409985951</v>
      </c>
      <c r="Q44" s="58">
        <f t="shared" si="18"/>
        <v>24.102113059001475</v>
      </c>
      <c r="R44" s="58"/>
      <c r="S44" s="58">
        <f t="shared" si="19"/>
        <v>1.0357787922716541</v>
      </c>
      <c r="T44" s="58">
        <f t="shared" si="24"/>
        <v>23.066334266729822</v>
      </c>
      <c r="U44" s="58">
        <f t="shared" si="28"/>
        <v>18.257619464767558</v>
      </c>
      <c r="V44" s="58">
        <f t="shared" si="10"/>
        <v>0.19230769230769232</v>
      </c>
      <c r="W44" s="60">
        <f t="shared" si="25"/>
        <v>192307.69230769231</v>
      </c>
      <c r="X44" s="60">
        <f t="shared" si="11"/>
        <v>4435.833512832658</v>
      </c>
      <c r="Y44" s="55">
        <f t="shared" si="26"/>
        <v>5.2</v>
      </c>
      <c r="Z44" s="55">
        <f t="shared" si="27"/>
        <v>28.600000000000069</v>
      </c>
      <c r="AA44" s="55">
        <f t="shared" si="20"/>
        <v>13.057619464767559</v>
      </c>
      <c r="AB44" s="55">
        <f t="shared" si="21"/>
        <v>2511.0806663014537</v>
      </c>
      <c r="AC44" s="63">
        <f t="shared" si="12"/>
        <v>2511.0806663014537</v>
      </c>
    </row>
    <row r="45" spans="1:29" s="2" customFormat="1" x14ac:dyDescent="0.25">
      <c r="G45" s="2">
        <f t="shared" ref="G45" si="29">G44*(1-E44/1000)</f>
        <v>0.89568150872251318</v>
      </c>
    </row>
    <row r="46" spans="1:29" s="2" customFormat="1" ht="15.75" x14ac:dyDescent="0.25">
      <c r="A46" s="16" t="s">
        <v>92</v>
      </c>
    </row>
    <row r="63" spans="1:1" s="2" customFormat="1" ht="15.75" x14ac:dyDescent="0.25">
      <c r="A63" s="24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Q1(a)(c)</vt:lpstr>
      <vt:lpstr>Q4(c)</vt:lpstr>
      <vt:lpstr>Q6(b)</vt:lpstr>
      <vt:lpstr>Q7(b)(c)</vt:lpstr>
      <vt:lpstr>Q9(b)</vt:lpstr>
      <vt:lpstr>Q10(a)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2022-02-05T14:03:41Z</dcterms:created>
  <dcterms:modified xsi:type="dcterms:W3CDTF">2022-10-12T19:18:09Z</dcterms:modified>
</cp:coreProperties>
</file>